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metadata1.xml" ContentType="application/vnd.openxmlformats-officedocument.spreadsheetml.sheetMetadata+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drawings/drawing7.xml" ContentType="application/vnd.openxmlformats-officedocument.drawing+xml"/>
  <Override PartName="/xl/worksheets/sheet9.xml" ContentType="application/vnd.openxmlformats-officedocument.spreadsheetml.worksheet+xml"/>
  <Override PartName="/xl/drawings/drawing8.xml" ContentType="application/vnd.openxmlformats-officedocument.drawing+xml"/>
  <Override PartName="/xl/worksheets/sheet10.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drawings/drawing10.xml" ContentType="application/vnd.openxmlformats-officedocument.drawing+xml"/>
  <Override PartName="/xl/worksheets/sheet12.xml" ContentType="application/vnd.openxmlformats-officedocument.spreadsheetml.worksheet+xml"/>
  <Override PartName="/xl/drawings/drawing11.xml" ContentType="application/vnd.openxmlformats-officedocument.drawing+xml"/>
  <Override PartName="/xl/worksheets/sheet13.xml" ContentType="application/vnd.openxmlformats-officedocument.spreadsheetml.worksheet+xml"/>
  <Override PartName="/xl/drawings/drawing12.xml" ContentType="application/vnd.openxmlformats-officedocument.drawing+xml"/>
  <Override PartName="/xl/worksheets/sheet14.xml" ContentType="application/vnd.openxmlformats-officedocument.spreadsheetml.worksheet+xml"/>
  <Override PartName="/xl/drawings/drawing13.xml" ContentType="application/vnd.openxmlformats-officedocument.drawing+xml"/>
  <Override PartName="/xl/worksheets/sheet15.xml" ContentType="application/vnd.openxmlformats-officedocument.spreadsheetml.worksheet+xml"/>
  <Override PartName="/xl/drawings/drawing14.xml" ContentType="application/vnd.openxmlformats-officedocument.drawing+xml"/>
  <Override PartName="/xl/worksheets/sheet16.xml" ContentType="application/vnd.openxmlformats-officedocument.spreadsheetml.worksheet+xml"/>
  <Override PartName="/xl/drawings/drawing15.xml" ContentType="application/vnd.openxmlformats-officedocument.drawing+xml"/>
  <Override PartName="/xl/worksheets/sheet17.xml" ContentType="application/vnd.openxmlformats-officedocument.spreadsheetml.worksheet+xml"/>
  <Override PartName="/xl/drawings/drawing16.xml" ContentType="application/vnd.openxmlformats-officedocument.drawing+xml"/>
  <Override PartName="/xl/worksheets/sheet18.xml" ContentType="application/vnd.openxmlformats-officedocument.spreadsheetml.worksheet+xml"/>
  <Override PartName="/xl/drawings/drawing17.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19.xml" ContentType="application/vnd.openxmlformats-officedocument.spreadsheetml.worksheet+xml"/>
  <Override PartName="/xl/drawings/drawing18.xml" ContentType="application/vnd.openxmlformats-officedocument.drawing+xml"/>
  <Override PartName="/xl/worksheets/sheet20.xml" ContentType="application/vnd.openxmlformats-officedocument.spreadsheetml.worksheet+xml"/>
  <Override PartName="/xl/drawings/drawing19.xml" ContentType="application/vnd.openxmlformats-officedocument.drawing+xml"/>
  <Override PartName="/xl/worksheets/sheet21.xml" ContentType="application/vnd.openxmlformats-officedocument.spreadsheetml.worksheet+xml"/>
  <Override PartName="/xl/drawings/drawing20.xml" ContentType="application/vnd.openxmlformats-officedocument.drawing+xml"/>
  <Override PartName="/xl/worksheets/sheet22.xml" ContentType="application/vnd.openxmlformats-officedocument.spreadsheetml.worksheet+xml"/>
  <Override PartName="/xl/drawings/drawing21.xml" ContentType="application/vnd.openxmlformats-officedocument.drawing+xml"/>
  <Override PartName="/xl/worksheets/sheet23.xml" ContentType="application/vnd.openxmlformats-officedocument.spreadsheetml.worksheet+xml"/>
  <Override PartName="/xl/drawings/drawing22.xml" ContentType="application/vnd.openxmlformats-officedocument.drawing+xml"/>
  <Override PartName="/xl/worksheets/sheet24.xml" ContentType="application/vnd.openxmlformats-officedocument.spreadsheetml.worksheet+xml"/>
  <Override PartName="/xl/drawings/drawing23.xml" ContentType="application/vnd.openxmlformats-officedocument.drawing+xml"/>
  <Override PartName="/xl/drawings/charts/chart3.xml" ContentType="application/vnd.openxmlformats-officedocument.drawingml.chart+xml"/>
  <Override PartName="/xl/drawings/charts/chart4.xml" ContentType="application/vnd.openxmlformats-officedocument.drawingml.chart+xml"/>
  <Override PartName="/xl/drawings/charts/chart5.xml" ContentType="application/vnd.openxmlformats-officedocument.drawingml.chart+xml"/>
  <Override PartName="/xl/drawings/charts/chart6.xml" ContentType="application/vnd.openxmlformats-officedocument.drawingml.chart+xml"/>
  <Override PartName="/xl/drawings/charts/chart7.xml" ContentType="application/vnd.openxmlformats-officedocument.drawingml.chart+xml"/>
  <Override PartName="/xl/drawings/charts/chart8.xml" ContentType="application/vnd.openxmlformats-officedocument.drawingml.chart+xml"/>
  <Override PartName="/xl/drawings/charts/chart9.xml" ContentType="application/vnd.openxmlformats-officedocument.drawingml.chart+xml"/>
  <Override PartName="/xl/drawings/charts/chart10.xml" ContentType="application/vnd.openxmlformats-officedocument.drawingml.chart+xml"/>
  <Override PartName="/xl/worksheets/sheet2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6a2fed1d34544bb6" /></Relationships>
</file>

<file path=xl/workbook.xml><?xml version="1.0" encoding="utf-8"?>
<x:workbook xmlns:x="http://schemas.openxmlformats.org/spreadsheetml/2006/main">
  <x:sheets>
    <x:sheet xmlns:r="http://schemas.openxmlformats.org/officeDocument/2006/relationships" name="FERRARI" sheetId="1" r:id="R054288126c004e82"/>
    <x:sheet xmlns:r="http://schemas.openxmlformats.org/officeDocument/2006/relationships" name="Summary" sheetId="2" r:id="Rb5df6eba0d8747ff"/>
    <x:sheet xmlns:r="http://schemas.openxmlformats.org/officeDocument/2006/relationships" name="Info &amp; Assumptions" sheetId="3" r:id="R1238bccfe10841c1"/>
    <x:sheet xmlns:r="http://schemas.openxmlformats.org/officeDocument/2006/relationships" name="Historical Income Statement" sheetId="4" r:id="Rb2cb5fcf14af434e"/>
    <x:sheet xmlns:r="http://schemas.openxmlformats.org/officeDocument/2006/relationships" name="Balance Sheet" sheetId="5" r:id="R8905d467306142b3"/>
    <x:sheet xmlns:r="http://schemas.openxmlformats.org/officeDocument/2006/relationships" name="Cash Flow Statement" sheetId="6" r:id="R2d5c0f00448d45f9"/>
    <x:sheet xmlns:r="http://schemas.openxmlformats.org/officeDocument/2006/relationships" name="Revenue Recognition" sheetId="7" r:id="R27bec16cdeee425b"/>
    <x:sheet xmlns:r="http://schemas.openxmlformats.org/officeDocument/2006/relationships" name="Normalised Income Statement" sheetId="8" r:id="Reb414ac859e841a0"/>
    <x:sheet xmlns:r="http://schemas.openxmlformats.org/officeDocument/2006/relationships" name="Economic Balance Sheet" sheetId="9" r:id="Ra28359bb4776406b"/>
    <x:sheet xmlns:r="http://schemas.openxmlformats.org/officeDocument/2006/relationships" name="CCC" sheetId="10" r:id="R8c7467df70d449b4"/>
    <x:sheet xmlns:r="http://schemas.openxmlformats.org/officeDocument/2006/relationships" name="Scenarios" sheetId="11" r:id="R62ea0cc2f4ee4b89"/>
    <x:sheet xmlns:r="http://schemas.openxmlformats.org/officeDocument/2006/relationships" name="Forecasts" sheetId="12" r:id="R9529c97c9eaf4abd"/>
    <x:sheet xmlns:r="http://schemas.openxmlformats.org/officeDocument/2006/relationships" name="WC Schedule" sheetId="13" r:id="R50d957678a11407a"/>
    <x:sheet xmlns:r="http://schemas.openxmlformats.org/officeDocument/2006/relationships" name="Debt Schedule" sheetId="14" r:id="Rea3cf687bd45469f"/>
    <x:sheet xmlns:r="http://schemas.openxmlformats.org/officeDocument/2006/relationships" name="Capex &amp; D&amp;A Schedule" sheetId="15" r:id="R15076d15f55b49f0"/>
    <x:sheet xmlns:r="http://schemas.openxmlformats.org/officeDocument/2006/relationships" name="Buyback &amp; Share Count" sheetId="16" r:id="Rcd7c83a0d6254426"/>
    <x:sheet xmlns:r="http://schemas.openxmlformats.org/officeDocument/2006/relationships" name="WACC" sheetId="17" r:id="R59a1407ce25946dd"/>
    <x:sheet xmlns:r="http://schemas.openxmlformats.org/officeDocument/2006/relationships" name="Beta" sheetId="24" r:id="Ra77e6cc7ef7d40ed"/>
    <x:sheet xmlns:r="http://schemas.openxmlformats.org/officeDocument/2006/relationships" name="Free Cash Flows" sheetId="18" r:id="R22b7e2dfd54a40d8"/>
    <x:sheet xmlns:r="http://schemas.openxmlformats.org/officeDocument/2006/relationships" name="DCF Valuation" sheetId="19" r:id="R3f7bed4222d34446"/>
    <x:sheet xmlns:r="http://schemas.openxmlformats.org/officeDocument/2006/relationships" name="DCF Sensivity Analysis" sheetId="25" r:id="Rd1c0b032904e4687"/>
    <x:sheet xmlns:r="http://schemas.openxmlformats.org/officeDocument/2006/relationships" name="Multiples Valuation" sheetId="26" r:id="R247cbf784fe64b4c"/>
    <x:sheet xmlns:r="http://schemas.openxmlformats.org/officeDocument/2006/relationships" name="DDM Valuation" sheetId="21" r:id="R651fda8523e040ed"/>
    <x:sheet xmlns:r="http://schemas.openxmlformats.org/officeDocument/2006/relationships" name="OTHER" sheetId="23" r:id="R6a18a85c8244404c"/>
    <x:sheet xmlns:r="http://schemas.openxmlformats.org/officeDocument/2006/relationships" name="Public Notes" sheetId="27" r:id="R5cce3dbf0c004eb2"/>
  </x:sheets>
  <x:definedNames>
    <x:definedName name="_xlchart.v2.0" hidden="1">OTHER!$AJ$19:$AJ$22</x:definedName>
    <x:definedName name="_xlchart.v2.1" hidden="1">OTHER!$AK$18</x:definedName>
    <x:definedName name="_xlchart.v2.2" hidden="1">OTHER!$AK$19:$AK$22</x:definedName>
  </x:definedNames>
</x:workbook>
</file>

<file path=xl/metadata1.xml><?xml version="1.0" encoding="utf-8"?>
<x:metadata xmlns:x="http://schemas.openxmlformats.org/spreadsheetml/2006/main">
  <x:metadataTypes count="1">
    <x:metadataType name="XLDAPR" minSupportedVersion="120000" copy="1" pasteAll="1" pasteValues="1" merge="1" splitFirst="1" rowColShift="1" clearFormats="1" clearComments="1" assign="1" coerce="1" cellMeta="1"/>
  </x:metadataTypes>
  <x:futureMetadata name="XLDAPR" count="1">
    <x:bk>
      <x:extLst>
        <x:ext uri="{bdbb8cdc-fa1e-496e-a857-3c3f30c029c3}">
          <xda:dynamicArrayProperties xmlns:xda="http://schemas.microsoft.com/office/spreadsheetml/2017/dynamicarray" fDynamic="1" fCollapsed="0"/>
        </x:ext>
      </x:extLst>
    </x:bk>
  </x:futureMetadata>
  <x:cellMetadata count="1">
    <x:bk>
      <x:rc t="1" v="0"/>
    </x:bk>
  </x:cellMetadata>
</x:metadata>
</file>

<file path=xl/sharedStrings.xml><?xml version="1.0" encoding="utf-8"?>
<x:sst xmlns:x="http://schemas.openxmlformats.org/spreadsheetml/2006/main">
  <x:si>
    <x:t xml:space="preserve">F E R R A R I   N . V .</x:t>
  </x:si>
  <x:si>
    <x:t xml:space="preserve">  EQUITY VALUATION MODEL  </x:t>
  </x:si>
  <x:si>
    <x:t xml:space="preserve">NYSE : RACE</x:t>
  </x:si>
  <x:si>
    <x:t xml:space="preserve">   Summary</x:t>
  </x:si>
  <x:si>
    <x:t xml:space="preserve">Recommendation</x:t>
  </x:si>
  <x:si>
    <x:t xml:space="preserve">We initiate coverage of Ferrari N.V. (RACE) with a HOLD recommendation and a 12-month target price of €325.32 per share, implying approximately 2.0% upside from the €318.85 share price on 30 June 2026. Ferrari’s scarcity-led model remains exceptionally strong: although FY2025 shipments declined by 0.8% to 13,640 units, net revenue rose by 7.0% to €7.15 billion and revenue per car increased by 5.7% to approximately €440,000, demonstrating continued pricing, mix and personalisation gains. Our target blends DCF, peer-multiples and dividend-discount valuations of €327.33, €213.00 and €337.92, respectively. Nevertheless, the limited upside and the DCF’s heavy reliance on terminal value suggest that Ferrari’s exceptional franchise quality is already largely reflected in its current share price.</x:t>
  </x:si>
  <x:si>
    <x:t xml:space="preserve">Valuation</x:t>
  </x:si>
  <x:si>
    <x:t xml:space="preserve">Weighting</x:t>
  </x:si>
  <x:si>
    <x:t xml:space="preserve">Implied Price</x:t>
  </x:si>
  <x:si>
    <x:t xml:space="preserve">Current Upside/downside</x:t>
  </x:si>
  <x:si>
    <x:t xml:space="preserve">Chosen Case</x:t>
  </x:si>
  <x:si>
    <x:t xml:space="preserve">Discounted Cash Flows</x:t>
  </x:si>
  <x:si>
    <x:t xml:space="preserve">Scenario</x:t>
  </x:si>
  <x:si>
    <x:t xml:space="preserve">Base</x:t>
  </x:si>
  <x:si>
    <x:t xml:space="preserve">Multiples </x:t>
  </x:si>
  <x:si>
    <x:t xml:space="preserve">Net financial expenses source</x:t>
  </x:si>
  <x:si>
    <x:t xml:space="preserve">Debt Schedule</x:t>
  </x:si>
  <x:si>
    <x:t xml:space="preserve">Dividend Discount Model</x:t>
  </x:si>
  <x:si>
    <x:t xml:space="preserve">D&amp;A source	</x:t>
  </x:si>
  <x:si>
    <x:t xml:space="preserve">Capex &amp; D&amp;A Schedule</x:t>
  </x:si>
  <x:si>
    <x:t xml:space="preserve">Weighted Average Intrinsic Value</x:t>
  </x:si>
  <x:si>
    <x:t xml:space="preserve">Choose here</x:t>
  </x:si>
  <x:si>
    <x:t xml:space="preserve">   INFO &amp; KEY ASSUMPTIONS</x:t>
  </x:si>
  <x:si>
    <x:t xml:space="preserve">Company Snapshot</x:t>
  </x:si>
  <x:si>
    <x:t xml:space="preserve">Company</x:t>
  </x:si>
  <x:si>
    <x:t xml:space="preserve">Ferrari N.V.</x:t>
  </x:si>
  <x:si>
    <x:t xml:space="preserve">Key Assumptions</x:t>
  </x:si>
  <x:si>
    <x:t xml:space="preserve">Headquarters</x:t>
  </x:si>
  <x:si>
    <x:t xml:space="preserve">Maranello, Italy </x:t>
  </x:si>
  <x:si>
    <x:t xml:space="preserve">Scenario case in use</x:t>
  </x:si>
  <x:si>
    <x:t xml:space="preserve">Listings</x:t>
  </x:si>
  <x:si>
    <x:t xml:space="preserve">NYSE: RACE (since Oct 2015) - Euronext Milan: RACE (since Jan 2016)</x:t>
  </x:si>
  <x:si>
    <x:t xml:space="preserve">CEO</x:t>
  </x:si>
  <x:si>
    <x:t xml:space="preserve">Benedetto Vigna</x:t>
  </x:si>
  <x:si>
    <x:t xml:space="preserve">D&amp;A / capex source</x:t>
  </x:si>
  <x:si>
    <x:t xml:space="preserve">Employees (FY2025)</x:t>
  </x:si>
  <x:si>
    <x:t xml:space="preserve">Revenue CAGR FY2025–35 (active case)</x:t>
  </x:si>
  <x:si>
    <x:t xml:space="preserve">EBIT margin FY2026 → FY2035</x:t>
  </x:si>
  <x:si>
    <x:t xml:space="preserve">Capex % of revenues FY2026 → FY2035</x:t>
  </x:si>
  <x:si>
    <x:t xml:space="preserve">Tax rate │ dividend payout</x:t>
  </x:si>
  <x:si>
    <x:t xml:space="preserve">WACC │ terminal growth g</x:t>
  </x:si>
  <x:si>
    <x:t xml:space="preserve">Business Decription</x:t>
  </x:si>
  <x:si>
    <x:t xml:space="preserve">Ferrari designs, engineers, produces and sells luxury performance sports cars. The company deliberately constrains volumes below demand to preserve exclusivity: annual shipments have grown from 7,255 cars in 2014 (pre-IPO) to 13,640 in 2025, with growth driven primarily by price, mix and personalization rather than units. The product range spans Range models, Special Series, Icona and Supercars (the F80 began shipping in Q4 2025), complemented by racing (Scuderia Ferrari in Formula 1, the Ferrari Endurance Team in WEC), lifestyle and brand activities, and an in-house financial services arm that finances client purchases (treated separately in the DCF). Hybrid models surpassed ICE in the shipment mix in 2024, and the first fully electric Ferrari, the Luce, was revealed in October 2025.																		
																		</x:t>
  </x:si>
  <x:si>
    <x:t xml:space="preserve">Car Shipments</x:t>
  </x:si>
  <x:si>
    <x:t xml:space="preserve">FY2021</x:t>
  </x:si>
  <x:si>
    <x:t xml:space="preserve">FY2022</x:t>
  </x:si>
  <x:si>
    <x:t xml:space="preserve">FY2023</x:t>
  </x:si>
  <x:si>
    <x:t xml:space="preserve">FY2024</x:t>
  </x:si>
  <x:si>
    <x:t xml:space="preserve">FY2025</x:t>
  </x:si>
  <x:si>
    <x:t xml:space="preserve">(€ thousand)</x:t>
  </x:si>
  <x:si>
    <x:t xml:space="preserve">Region</x:t>
  </x:si>
  <x:si>
    <x:t xml:space="preserve">Car shipments (units)</x:t>
  </x:si>
  <x:si>
    <x:t xml:space="preserve">EMEA</x:t>
  </x:si>
  <x:si>
    <x:t xml:space="preserve">Cars &amp; spare parts net revenue per car (€)</x:t>
  </x:si>
  <x:si>
    <x:t xml:space="preserve">Americas</x:t>
  </x:si>
  <x:si>
    <x:t xml:space="preserve">Mainland China, Hong Kong &amp; Taiwan</x:t>
  </x:si>
  <x:si>
    <x:t xml:space="preserve">Rest of APAC</x:t>
  </x:si>
  <x:si>
    <x:t xml:space="preserve">Total shipments</x:t>
  </x:si>
  <x:si>
    <x:t xml:space="preserve">   Historical Income Statement</x:t>
  </x:si>
  <x:si>
    <x:t xml:space="preserve">Net Revenue</x:t>
  </x:si>
  <x:si>
    <x:t xml:space="preserve">Cost of sales </x:t>
  </x:si>
  <x:si>
    <x:t xml:space="preserve">Selling, general and administrative costs</x:t>
  </x:si>
  <x:si>
    <x:t xml:space="preserve">Research and development costs</x:t>
  </x:si>
  <x:si>
    <x:t xml:space="preserve">Other expenses/(income), net</x:t>
  </x:si>
  <x:si>
    <x:t xml:space="preserve">Result from investments </x:t>
  </x:si>
  <x:si>
    <x:t xml:space="preserve">Operating profit (EBIT) </x:t>
  </x:si>
  <x:si>
    <x:t xml:space="preserve">D&amp;A (per cash flow statement)</x:t>
  </x:si>
  <x:si>
    <x:t xml:space="preserve">EBITDA</x:t>
  </x:si>
  <x:si>
    <x:t xml:space="preserve">Net financial expenses</x:t>
  </x:si>
  <x:si>
    <x:t xml:space="preserve">Profit before taxes </x:t>
  </x:si>
  <x:si>
    <x:t xml:space="preserve">Income tax expense </x:t>
  </x:si>
  <x:si>
    <x:t xml:space="preserve">Net profit </x:t>
  </x:si>
  <x:si>
    <x:t xml:space="preserve">   Balance Sheet</x:t>
  </x:si>
  <x:si>
    <x:t xml:space="preserve">Assets</x:t>
  </x:si>
  <x:si>
    <x:t xml:space="preserve">Goodwill</x:t>
  </x:si>
  <x:si>
    <x:t xml:space="preserve">Intangible assets</x:t>
  </x:si>
  <x:si>
    <x:t xml:space="preserve">Property, plant and equipment</x:t>
  </x:si>
  <x:si>
    <x:t xml:space="preserve">Investments and other financial assets</x:t>
  </x:si>
  <x:si>
    <x:t xml:space="preserve">Deferred tax assets</x:t>
  </x:si>
  <x:si>
    <x:t xml:space="preserve">Total non-current assets</x:t>
  </x:si>
  <x:si>
    <x:t xml:space="preserve">Inventories</x:t>
  </x:si>
  <x:si>
    <x:t xml:space="preserve">Trade receivables</x:t>
  </x:si>
  <x:si>
    <x:t xml:space="preserve">Receivables from financing activities</x:t>
  </x:si>
  <x:si>
    <x:t xml:space="preserve">Tax receivables</x:t>
  </x:si>
  <x:si>
    <x:t xml:space="preserve">Other current assets</x:t>
  </x:si>
  <x:si>
    <x:t xml:space="preserve">Current financial assets</x:t>
  </x:si>
  <x:si>
    <x:t xml:space="preserve">Cash and cash equivalents</x:t>
  </x:si>
  <x:si>
    <x:t xml:space="preserve">Total current assets</x:t>
  </x:si>
  <x:si>
    <x:t xml:space="preserve">Total assets</x:t>
  </x:si>
  <x:si>
    <x:t xml:space="preserve">Equity and liabilities</x:t>
  </x:si>
  <x:si>
    <x:t xml:space="preserve">Equity attributable to owners of the parent</x:t>
  </x:si>
  <x:si>
    <x:t xml:space="preserve">Non-controlling interests</x:t>
  </x:si>
  <x:si>
    <x:t xml:space="preserve">Total equity</x:t>
  </x:si>
  <x:si>
    <x:t xml:space="preserve">Employee benefits</x:t>
  </x:si>
  <x:si>
    <x:t xml:space="preserve">Provisions</x:t>
  </x:si>
  <x:si>
    <x:t xml:space="preserve">Deferred tax liabilities</x:t>
  </x:si>
  <x:si>
    <x:t xml:space="preserve">Debt</x:t>
  </x:si>
  <x:si>
    <x:t xml:space="preserve">Other liabilities</x:t>
  </x:si>
  <x:si>
    <x:t xml:space="preserve">Other financial liabilities</x:t>
  </x:si>
  <x:si>
    <x:t xml:space="preserve">Trade payables</x:t>
  </x:si>
  <x:si>
    <x:t xml:space="preserve">Tax payables</x:t>
  </x:si>
  <x:si>
    <x:t xml:space="preserve">Total equity and liabilities</x:t>
  </x:si>
  <x:si>
    <x:t xml:space="preserve">   Cash Flow Statement</x:t>
  </x:si>
  <x:si>
    <x:t xml:space="preserve">Cash and cash equivalents at beginning of year</x:t>
  </x:si>
  <x:si>
    <x:t xml:space="preserve">Cash flows from operating activities</x:t>
  </x:si>
  <x:si>
    <x:t xml:space="preserve">Net profit</x:t>
  </x:si>
  <x:si>
    <x:t xml:space="preserve">Income tax expense</x:t>
  </x:si>
  <x:si>
    <x:t xml:space="preserve">Amortization and depreciation</x:t>
  </x:si>
  <x:si>
    <x:t xml:space="preserve">Provision accruals</x:t>
  </x:si>
  <x:si>
    <x:t xml:space="preserve">Result from investments</x:t>
  </x:si>
  <x:si>
    <x:t xml:space="preserve">Financial income</x:t>
  </x:si>
  <x:si>
    <x:t xml:space="preserve">Financial expenses</x:t>
  </x:si>
  <x:si>
    <x:t xml:space="preserve">Other non-cash expenses, net</x:t>
  </x:si>
  <x:si>
    <x:t xml:space="preserve">Change in inventories</x:t>
  </x:si>
  <x:si>
    <x:t xml:space="preserve">Change in trade receivables</x:t>
  </x:si>
  <x:si>
    <x:t xml:space="preserve">Change in trade payables</x:t>
  </x:si>
  <x:si>
    <x:t xml:space="preserve">Change in receivables from financing activities</x:t>
  </x:si>
  <x:si>
    <x:t xml:space="preserve">Change in other operating assets and liabilities</x:t>
  </x:si>
  <x:si>
    <x:t xml:space="preserve">Finance income received</x:t>
  </x:si>
  <x:si>
    <x:t xml:space="preserve">Finance costs paid</x:t>
  </x:si>
  <x:si>
    <x:t xml:space="preserve">Income tax paid</x:t>
  </x:si>
  <x:si>
    <x:t xml:space="preserve">Total cash flows from operating activities</x:t>
  </x:si>
  <x:si>
    <x:t xml:space="preserve">Cash flows used in investing activities</x:t>
  </x:si>
  <x:si>
    <x:t xml:space="preserve">Investments in intangible assets</x:t>
  </x:si>
  <x:si>
    <x:t xml:space="preserve">Investments in property, plant and equipment</x:t>
  </x:si>
  <x:si>
    <x:t xml:space="preserve">Acquisitions of subsidiaries, JVs and other investments</x:t>
  </x:si>
  <x:si>
    <x:t xml:space="preserve">Proceeds from sale of PP&amp;E and intangible assets</x:t>
  </x:si>
  <x:si>
    <x:t xml:space="preserve">Total cash flows used in investing activities</x:t>
  </x:si>
  <x:si>
    <x:t xml:space="preserve">Cash flows used in financing activities</x:t>
  </x:si>
  <x:si>
    <x:t xml:space="preserve">Proceeds from bonds and notes</x:t>
  </x:si>
  <x:si>
    <x:t xml:space="preserve">Repayments of bonds and notes</x:t>
  </x:si>
  <x:si>
    <x:t xml:space="preserve">Proceeds from securitizations</x:t>
  </x:si>
  <x:si>
    <x:t xml:space="preserve">Repayments of securitizations</x:t>
  </x:si>
  <x:si>
    <x:t xml:space="preserve">Proceeds from borrowings from banks and other fin. inst.</x:t>
  </x:si>
  <x:si>
    <x:t xml:space="preserve">Repayments of borrowings from banks and other fin. inst.</x:t>
  </x:si>
  <x:si>
    <x:t xml:space="preserve">Proceeds from other debt</x:t>
  </x:si>
  <x:si>
    <x:t xml:space="preserve">Repayments of other debt</x:t>
  </x:si>
  <x:si>
    <x:t xml:space="preserve">Repayments of lease liabilities</x:t>
  </x:si>
  <x:si>
    <x:t xml:space="preserve">Dividends paid to owners of the parent</x:t>
  </x:si>
  <x:si>
    <x:t xml:space="preserve">Dividends paid to non-controlling interests</x:t>
  </x:si>
  <x:si>
    <x:t xml:space="preserve">Share repurchases</x:t>
  </x:si>
  <x:si>
    <x:t xml:space="preserve">Total cash flows used in financing activities</x:t>
  </x:si>
  <x:si>
    <x:t xml:space="preserve">Translation exchange differences</x:t>
  </x:si>
  <x:si>
    <x:t xml:space="preserve">Total change in cash and cash equivalents</x:t>
  </x:si>
  <x:si>
    <x:t xml:space="preserve">Cash and cash equivalents at end of year</x:t>
  </x:si>
  <x:si>
    <x:t xml:space="preserve">   Revenue Recognition</x:t>
  </x:si>
  <x:si>
    <x:t xml:space="preserve">Net revenues by segment</x:t>
  </x:si>
  <x:si>
    <x:t xml:space="preserve">Cars and spare parts</x:t>
  </x:si>
  <x:si>
    <x:t xml:space="preserve">Sponsorship, commercial and brand</x:t>
  </x:si>
  <x:si>
    <x:t xml:space="preserve">Other (incl. engines until FY2023)</x:t>
  </x:si>
  <x:si>
    <x:t xml:space="preserve">Total net revenues</x:t>
  </x:si>
  <x:si>
    <x:t xml:space="preserve">As % of total net revenues</x:t>
  </x:si>
  <x:si>
    <x:t xml:space="preserve">Other</x:t>
  </x:si>
  <x:si>
    <x:t xml:space="preserve">Total net revenue growth</x:t>
  </x:si>
  <x:si>
    <x:t xml:space="preserve">Memo items (included within net revenues)</x:t>
  </x:si>
  <x:si>
    <x:t xml:space="preserve">Interest &amp; other financial income from FS activities</x:t>
  </x:si>
  <x:si>
    <x:t xml:space="preserve">   as % of net revenues</x:t>
  </x:si>
  <x:si>
    <x:t xml:space="preserve">Engine revenues (Maserati contract expired Dec 2023)</x:t>
  </x:si>
  <x:si>
    <x:t xml:space="preserve">Operating cost detail (20-F Notes 5 &amp; 6)</x:t>
  </x:si>
  <x:si>
    <x:t xml:space="preserve">Cost of sales (per income statement)</x:t>
  </x:si>
  <x:si>
    <x:t xml:space="preserve">Selling costs</x:t>
  </x:si>
  <x:si>
    <x:t xml:space="preserve">General and administrative costs</x:t>
  </x:si>
  <x:si>
    <x:t xml:space="preserve">Total SG&amp;A</x:t>
  </x:si>
  <x:si>
    <x:t xml:space="preserve">   SG&amp;A as % of net revenues</x:t>
  </x:si>
  <x:si>
    <x:t xml:space="preserve">Financial services carve-out memo</x:t>
  </x:si>
  <x:si>
    <x:t xml:space="preserve">FS interest income (within net revenues, Note 4)</x:t>
  </x:si>
  <x:si>
    <x:t xml:space="preserve">FS interest expense (within cost of sales, Note 5)</x:t>
  </x:si>
  <x:si>
    <x:t xml:space="preserve">Net FS interest result</x:t>
  </x:si>
  <x:si>
    <x:t xml:space="preserve">Research &amp; development detail (20-F Note 7)</x:t>
  </x:si>
  <x:si>
    <x:t xml:space="preserve">R&amp;D costs expensed during the year</x:t>
  </x:si>
  <x:si>
    <x:t xml:space="preserve">Amortization of capitalized development costs</x:t>
  </x:si>
  <x:si>
    <x:t xml:space="preserve">Total R&amp;D costs</x:t>
  </x:si>
  <x:si>
    <x:t xml:space="preserve">   Total R&amp;D as % of net revenues</x:t>
  </x:si>
  <x:si>
    <x:t xml:space="preserve">Other expenses/(income), net detail (20-F Note 8)</x:t>
  </x:si>
  <x:si>
    <x:t xml:space="preserve">Other income (rental, PP&amp;E disposal gains, provision releases)</x:t>
  </x:si>
  <x:si>
    <x:t xml:space="preserve">Other expenses (indirect taxes, provisions, misc.)</x:t>
  </x:si>
  <x:si>
    <x:t xml:space="preserve">Other expenses, net</x:t>
  </x:si>
  <x:si>
    <x:t xml:space="preserve">   Net other expenses as % of EBITDA</x:t>
  </x:si>
  <x:si>
    <x:t xml:space="preserve">Net financial expenses detail (20-F Note 9)</x:t>
  </x:si>
  <x:si>
    <x:t xml:space="preserve">Foreign exchange gains</x:t>
  </x:si>
  <x:si>
    <x:t xml:space="preserve">Interest income</x:t>
  </x:si>
  <x:si>
    <x:t xml:space="preserve">Other financial income</x:t>
  </x:si>
  <x:si>
    <x:t xml:space="preserve">Total financial income</x:t>
  </x:si>
  <x:si>
    <x:t xml:space="preserve">Foreign exchange losses</x:t>
  </x:si>
  <x:si>
    <x:t xml:space="preserve">Interest expenses</x:t>
  </x:si>
  <x:si>
    <x:t xml:space="preserve">Other financial expenses</x:t>
  </x:si>
  <x:si>
    <x:t xml:space="preserve">Total financial expenses</x:t>
  </x:si>
  <x:si>
    <x:t xml:space="preserve">Net financial expenses/(income)</x:t>
  </x:si>
  <x:si>
    <x:t xml:space="preserve">one-off gain on partial bond cash tender (in FY2023 financial income)</x:t>
  </x:si>
  <x:si>
    <x:t xml:space="preserve">   Normalised Income Statement</x:t>
  </x:si>
  <x:si>
    <x:t xml:space="preserve">Reported EBITDA</x:t>
  </x:si>
  <x:si>
    <x:t xml:space="preserve">  Result from investments </x:t>
  </x:si>
  <x:si>
    <x:t xml:space="preserve">Total Adjustments</x:t>
  </x:si>
  <x:si>
    <x:t xml:space="preserve">Normalised EBITDA</x:t>
  </x:si>
  <x:si>
    <x:t xml:space="preserve">Reported EBIT</x:t>
  </x:si>
  <x:si>
    <x:t xml:space="preserve">Adjustments </x:t>
  </x:si>
  <x:si>
    <x:t xml:space="preserve">Normalised EBIT</x:t>
  </x:si>
  <x:si>
    <x:t xml:space="preserve">Reported Net Profit</x:t>
  </x:si>
  <x:si>
    <x:t xml:space="preserve">Result from investments (recognised net of tax)</x:t>
  </x:si>
  <x:si>
    <x:t xml:space="preserve">One-off bond tender gain, after tax (FY2023)</x:t>
  </x:si>
  <x:si>
    <x:t xml:space="preserve">Normalised Net Profit</x:t>
  </x:si>
  <x:si>
    <x:t xml:space="preserve">Equity-method income is recognised net of the investees own tax, so the full amount is removed from net profit.</x:t>
  </x:si>
  <x:si>
    <x:t xml:space="preserve">€7,940k × (1 − FY2023 effective tax rate of 21.5%) = €6,231k. Financing one-off; only affects the net profit line.</x:t>
  </x:si>
  <x:si>
    <x:t xml:space="preserve">   Economic Balance Sheet</x:t>
  </x:si>
  <x:si>
    <x:t xml:space="preserve">   </x:t>
  </x:si>
  <x:si>
    <x:t xml:space="preserve">Invested capital</x:t>
  </x:si>
  <x:si>
    <x:t xml:space="preserve">Less: trade payables</x:t>
  </x:si>
  <x:si>
    <x:t xml:space="preserve">Less: customer advances and security deposits (20-F Note 25)</x:t>
  </x:si>
  <x:si>
    <x:t xml:space="preserve">Less: other operating liabilities (Note 25 other liabilities excl. advances)</x:t>
  </x:si>
  <x:si>
    <x:t xml:space="preserve">Less: tax payables</x:t>
  </x:si>
  <x:si>
    <x:t xml:space="preserve">Operating net working capital</x:t>
  </x:si>
  <x:si>
    <x:t xml:space="preserve">Fixed operating assets, net</x:t>
  </x:si>
  <x:si>
    <x:t xml:space="preserve">Less: deferred tax liabilities</x:t>
  </x:si>
  <x:si>
    <x:t xml:space="preserve">Less: provisions</x:t>
  </x:si>
  <x:si>
    <x:t xml:space="preserve">Other operating assets/(liabilities), net</x:t>
  </x:si>
  <x:si>
    <x:t xml:space="preserve">Less: financial services funding (third-party FS debt, 20-F)</x:t>
  </x:si>
  <x:si>
    <x:t xml:space="preserve">Net investment in financial services (FFS Inc., U.S.)</x:t>
  </x:si>
  <x:si>
    <x:t xml:space="preserve">Net invested capital</x:t>
  </x:si>
  <x:si>
    <x:t xml:space="preserve">Financed by</x:t>
  </x:si>
  <x:si>
    <x:t xml:space="preserve">Less: financial services funding (allocated above)</x:t>
  </x:si>
  <x:si>
    <x:t xml:space="preserve">Industrial gross debt (incl. leases)</x:t>
  </x:si>
  <x:si>
    <x:t xml:space="preserve">Employee benefits (post-employment obligations, debt-like)</x:t>
  </x:si>
  <x:si>
    <x:t xml:space="preserve">Less: cash and cash equivalents</x:t>
  </x:si>
  <x:si>
    <x:t xml:space="preserve">Less: current financial assets</x:t>
  </x:si>
  <x:si>
    <x:t xml:space="preserve">Less: investments and other financial assets (incl. equity-method investees)</x:t>
  </x:si>
  <x:si>
    <x:t xml:space="preserve">Net financial liabilities/(assets) - net debt/(net cash)</x:t>
  </x:si>
  <x:si>
    <x:t xml:space="preserve">Total sources of financing (net debt + equity)</x:t>
  </x:si>
  <x:si>
    <x:t xml:space="preserve">   Cash Conversion Cycle</x:t>
  </x:si>
  <x:si>
    <x:t xml:space="preserve">Inputs</x:t>
  </x:si>
  <x:si>
    <x:t xml:space="preserve">Net revenue</x:t>
  </x:si>
  <x:si>
    <x:t xml:space="preserve">Cost of sales</x:t>
  </x:si>
  <x:si>
    <x:t xml:space="preserve">Trade receivables (year-end)</x:t>
  </x:si>
  <x:si>
    <x:t xml:space="preserve">Inventories (year-end)</x:t>
  </x:si>
  <x:si>
    <x:t xml:space="preserve">Trade payables (year-end)</x:t>
  </x:si>
  <x:si>
    <x:t xml:space="preserve">Average balances</x:t>
  </x:si>
  <x:si>
    <x:t xml:space="preserve">Average trade receivables</x:t>
  </x:si>
  <x:si>
    <x:t xml:space="preserve">Average inventories</x:t>
  </x:si>
  <x:si>
    <x:t xml:space="preserve">Average trade payables</x:t>
  </x:si>
  <x:si>
    <x:t xml:space="preserve">Cash conversion cycle (days, 365-day year)</x:t>
  </x:si>
  <x:si>
    <x:t xml:space="preserve">Days sales outstanding</x:t>
  </x:si>
  <x:si>
    <x:t xml:space="preserve">(DSO = avg receivables ÷ revenue × 365)</x:t>
  </x:si>
  <x:si>
    <x:t xml:space="preserve">Days inventory outstanding </x:t>
  </x:si>
  <x:si>
    <x:t xml:space="preserve">(DIO = avg inventories ÷ cost of sales × 365)</x:t>
  </x:si>
  <x:si>
    <x:t xml:space="preserve">Days payables outstanding </x:t>
  </x:si>
  <x:si>
    <x:t xml:space="preserve">(DPO = avg payables ÷ cost of sales × 365)</x:t>
  </x:si>
  <x:si>
    <x:t xml:space="preserve">Cash conversion cycle (DSO + DIO − DPO)</x:t>
  </x:si>
  <x:si>
    <x:t xml:space="preserve">Ferrari-specific driver: customer advances</x:t>
  </x:si>
  <x:si>
    <x:t xml:space="preserve">Advances and security deposits (year-end, 20-F Note 25)</x:t>
  </x:si>
  <x:si>
    <x:t xml:space="preserve">Advances as days of revenue</x:t>
  </x:si>
  <x:si>
    <x:t xml:space="preserve">CCC after customer advances</x:t>
  </x:si>
  <x:si>
    <x:t xml:space="preserve">Net working capital</x:t>
  </x:si>
  <x:si>
    <x:t xml:space="preserve">Trade net working capital (receivables + inventories - payables)</x:t>
  </x:si>
  <x:si>
    <x:t xml:space="preserve">Operating net working capital (per Economic Balance Sheet)</x:t>
  </x:si>
  <x:si>
    <x:t xml:space="preserve">Trade NWC as % of net revenue</x:t>
  </x:si>
  <x:si>
    <x:t xml:space="preserve">Operating NWC as % of net revenue</x:t>
  </x:si>
  <x:si>
    <x:t xml:space="preserve">Increase/(decrease) in operating NWC year-on-year</x:t>
  </x:si>
  <x:si>
    <x:t xml:space="preserve">   Scenarios</x:t>
  </x:si>
  <x:si>
    <x:t xml:space="preserve">FY2026</x:t>
  </x:si>
  <x:si>
    <x:t xml:space="preserve">FY2027</x:t>
  </x:si>
  <x:si>
    <x:t xml:space="preserve">FY2028</x:t>
  </x:si>
  <x:si>
    <x:t xml:space="preserve">FY2029</x:t>
  </x:si>
  <x:si>
    <x:t xml:space="preserve">FY2030</x:t>
  </x:si>
  <x:si>
    <x:t xml:space="preserve">FY2031</x:t>
  </x:si>
  <x:si>
    <x:t xml:space="preserve">FY2032</x:t>
  </x:si>
  <x:si>
    <x:t xml:space="preserve">FY2033</x:t>
  </x:si>
  <x:si>
    <x:t xml:space="preserve">FY2034</x:t>
  </x:si>
  <x:si>
    <x:t xml:space="preserve">FY2035</x:t>
  </x:si>
  <x:si>
    <x:t xml:space="preserve">Revenue growth assumptions (YoY)</x:t>
  </x:si>
  <x:si>
    <x:t xml:space="preserve">Shipments growth</x:t>
  </x:si>
  <x:si>
    <x:t xml:space="preserve">Operating costs as % of net revenues</x:t>
  </x:si>
  <x:si>
    <x:t xml:space="preserve">Research &amp; development</x:t>
  </x:si>
  <x:si>
    <x:t xml:space="preserve">R&amp;D costs expensed growth</x:t>
  </x:si>
  <x:si>
    <x:t xml:space="preserve">Amortization of capitalized development costs growth</x:t>
  </x:si>
  <x:si>
    <x:t xml:space="preserve">Other operating items</x:t>
  </x:si>
  <x:si>
    <x:t xml:space="preserve">Other expenses/(income) net, as % of net revenues</x:t>
  </x:si>
  <x:si>
    <x:t xml:space="preserve">Result from investments growth</x:t>
  </x:si>
  <x:si>
    <x:t xml:space="preserve">Forecast income statement</x:t>
  </x:si>
  <x:si>
    <x:t xml:space="preserve">Operating profit (EBIT)</x:t>
  </x:si>
  <x:si>
    <x:t xml:space="preserve">Depreciation &amp; other amortization (excl. cap. dev.) growth</x:t>
  </x:si>
  <x:si>
    <x:t xml:space="preserve">Effective tax rate</x:t>
  </x:si>
  <x:si>
    <x:t xml:space="preserve">Best</x:t>
  </x:si>
  <x:si>
    <x:t xml:space="preserve">Worst</x:t>
  </x:si>
  <x:si>
    <x:t xml:space="preserve">   Forecasts</x:t>
  </x:si>
  <x:si>
    <x:t xml:space="preserve">D&amp;A source</x:t>
  </x:si>
  <x:si>
    <x:t xml:space="preserve">Other (incl. financial services)</x:t>
  </x:si>
  <x:si>
    <x:t xml:space="preserve">Car shipments and revenue per car</x:t>
  </x:si>
  <x:si>
    <x:t xml:space="preserve">Cars &amp; spare parts net revenue per car (thousand €)</x:t>
  </x:si>
  <x:si>
    <x:t xml:space="preserve">Operating costs</x:t>
  </x:si>
  <x:si>
    <x:t xml:space="preserve">R&amp;D costs expensed</x:t>
  </x:si>
  <x:si>
    <x:t xml:space="preserve">Depreciation &amp; other amortization (excl. cap. dev.)</x:t>
  </x:si>
  <x:si>
    <x:t xml:space="preserve">Profit before taxes</x:t>
  </x:si>
  <x:si>
    <x:t xml:space="preserve">FY2026 guidance cross-check (2025 Annual Report, "2026 Outlook", p.122)</x:t>
  </x:si>
  <x:si>
    <x:t xml:space="preserve">Net revenues - guidance ~7,500,000; model:</x:t>
  </x:si>
  <x:si>
    <x:t xml:space="preserve">Adj. EBITDA - guidance &gt;=2,930,000 (&gt;=39.0%); model:</x:t>
  </x:si>
  <x:si>
    <x:t xml:space="preserve">Adj. EBIT - guidance &gt;=2,220,000 (&gt;=29.5%); model:</x:t>
  </x:si>
  <x:si>
    <x:t xml:space="preserve">   Working Capital Schedule</x:t>
  </x:si>
  <x:si>
    <x:t xml:space="preserve">Selected Case</x:t>
  </x:si>
  <x:si>
    <x:t xml:space="preserve">Balances (FY2021-25 actual; FY2026-35 forecast)</x:t>
  </x:si>
  <x:si>
    <x:t xml:space="preserve">Net revenues </x:t>
  </x:si>
  <x:si>
    <x:t xml:space="preserve">Customer advances and security deposits</x:t>
  </x:si>
  <x:si>
    <x:t xml:space="preserve">Other operating working capital, net</x:t>
  </x:si>
  <x:si>
    <x:t xml:space="preserve">Drivers</x:t>
  </x:si>
  <x:si>
    <x:t xml:space="preserve">Receivable days (DSO, year-end)</x:t>
  </x:si>
  <x:si>
    <x:t xml:space="preserve">Inventory days (DIO, year-end)</x:t>
  </x:si>
  <x:si>
    <x:t xml:space="preserve">Payable days (DPO, year-end)</x:t>
  </x:si>
  <x:si>
    <x:t xml:space="preserve">Customer advances, days of revenue</x:t>
  </x:si>
  <x:si>
    <x:t xml:space="preserve">Other operating WC, % of net revenues</x:t>
  </x:si>
  <x:si>
    <x:t xml:space="preserve">Outputs</x:t>
  </x:si>
  <x:si>
    <x:t xml:space="preserve">Operating NWC, % of net revenues</x:t>
  </x:si>
  <x:si>
    <x:t xml:space="preserve">Increase/(decrease) in operating NWC</x:t>
  </x:si>
  <x:si>
    <x:t xml:space="preserve">   Debt Schedule</x:t>
  </x:si>
  <x:si>
    <x:t xml:space="preserve">Debt and net financial expenses</x:t>
  </x:si>
  <x:si>
    <x:t xml:space="preserve">Industrial debt (total debt less securitisation funding)</x:t>
  </x:si>
  <x:si>
    <x:t xml:space="preserve">Interest expense</x:t>
  </x:si>
  <x:si>
    <x:t xml:space="preserve">Interest income (earned on opening cash)</x:t>
  </x:si>
  <x:si>
    <x:t xml:space="preserve">Other financial expenses, net (mainly FX)</x:t>
  </x:si>
  <x:si>
    <x:t xml:space="preserve">Net financial expenses/(income)  (feeds Forecasts)</x:t>
  </x:si>
  <x:si>
    <x:t xml:space="preserve">Cash roll-forward (forecast years; debt held flat)</x:t>
  </x:si>
  <x:si>
    <x:t xml:space="preserve">Opening cash</x:t>
  </x:si>
  <x:si>
    <x:t xml:space="preserve">Plus: net profit (Forecasts)</x:t>
  </x:si>
  <x:si>
    <x:t xml:space="preserve">Plus: D&amp;A (Forecasts)</x:t>
  </x:si>
  <x:si>
    <x:t xml:space="preserve">Less: capex (Capex &amp; D&amp;A Schedule)</x:t>
  </x:si>
  <x:si>
    <x:t xml:space="preserve">Less: increase/(decrease) in operating NWC</x:t>
  </x:si>
  <x:si>
    <x:t xml:space="preserve">Less: dividends (payout × prior-year net profit)</x:t>
  </x:si>
  <x:si>
    <x:t xml:space="preserve">Less: share buybacks (Buyback &amp; Share Count)</x:t>
  </x:si>
  <x:si>
    <x:t xml:space="preserve">Closing cash</x:t>
  </x:si>
  <x:si>
    <x:t xml:space="preserve">net industrial debt/(net cash) = debt - cash</x:t>
  </x:si>
  <x:si>
    <x:t xml:space="preserve">Net financial position (Economic Balance Sheet definition)</x:t>
  </x:si>
  <x:si>
    <x:t xml:space="preserve">Plus: employee benefits (post-employment obligations, debt-like)</x:t>
  </x:si>
  <x:si>
    <x:t xml:space="preserve">Plus: other financial liabilities</x:t>
  </x:si>
  <x:si>
    <x:t xml:space="preserve">Less: investments and other financial assets (incl equity-method investees)</x:t>
  </x:si>
  <x:si>
    <x:t xml:space="preserve">Net financial liabilities/(assets) - feeds DCF equity bridge</x:t>
  </x:si>
  <x:si>
    <x:t xml:space="preserve">Memo: NFP with all four non-debt items held flat at FY2025 (flat version)</x:t>
  </x:si>
  <x:si>
    <x:t xml:space="preserve">Difference (driver-based - flat); negative = more net cash</x:t>
  </x:si>
  <x:si>
    <x:t xml:space="preserve">   CapEx &amp; D&amp;A Schedule</x:t>
  </x:si>
  <x:si>
    <x:t xml:space="preserve">Capex (driver: % of net revenues)</x:t>
  </x:si>
  <x:si>
    <x:t xml:space="preserve">Net revenues (Forecasts, active case)</x:t>
  </x:si>
  <x:si>
    <x:t xml:space="preserve">Total capex</x:t>
  </x:si>
  <x:si>
    <x:t xml:space="preserve">Capex, % of net revenues</x:t>
  </x:si>
  <x:si>
    <x:t xml:space="preserve">D&amp;A (% of net revenues; depreciation converges toward capex)</x:t>
  </x:si>
  <x:si>
    <x:t xml:space="preserve">   % of net revenues</x:t>
  </x:si>
  <x:si>
    <x:t xml:space="preserve">Total D&amp;A</x:t>
  </x:si>
  <x:si>
    <x:t xml:space="preserve">Sanity check</x:t>
  </x:si>
  <x:si>
    <x:t xml:space="preserve">Capex less total D&amp;A (positive = asset base growing)</x:t>
  </x:si>
  <x:si>
    <x:t xml:space="preserve">   Buyback &amp; Share Count</x:t>
  </x:si>
  <x:si>
    <x:t xml:space="preserve">Multi-year buyback program (€3.5bn by 2030)</x:t>
  </x:si>
  <x:si>
    <x:t xml:space="preserve">Annual buyback spend</x:t>
  </x:si>
  <x:si>
    <x:t xml:space="preserve">Cumulative spend</x:t>
  </x:si>
  <x:si>
    <x:t xml:space="preserve">Assumed average purchase price (€ per share)</x:t>
  </x:si>
  <x:si>
    <x:t xml:space="preserve">Shares repurchased (number)</x:t>
  </x:si>
  <x:si>
    <x:t xml:space="preserve">Share count rollforward (number of shares)</x:t>
  </x:si>
  <x:si>
    <x:t xml:space="preserve">Opening shares outstanding (31-Dec-2025: 193,923,499 issued - 16,644,606 treasury; 20-F p. 253)</x:t>
  </x:si>
  <x:si>
    <x:t xml:space="preserve">Less: shares repurchased</x:t>
  </x:si>
  <x:si>
    <x:t xml:space="preserve">Closing shares outstanding</x:t>
  </x:si>
  <x:si>
    <x:t xml:space="preserve">Average shares outstanding</x:t>
  </x:si>
  <x:si>
    <x:t xml:space="preserve">Per-share impact (active scenario)</x:t>
  </x:si>
  <x:si>
    <x:t xml:space="preserve">Net profit (Forecasts)</x:t>
  </x:si>
  <x:si>
    <x:t xml:space="preserve">EPS on average shares outstanding (€)</x:t>
  </x:si>
  <x:si>
    <x:t xml:space="preserve">EPS growth</x:t>
  </x:si>
  <x:si>
    <x:t xml:space="preserve">Memo: net profit growth</x:t>
  </x:si>
  <x:si>
    <x:t xml:space="preserve">   Weighted Average Cost of Capital</x:t>
  </x:si>
  <x:si>
    <x:t xml:space="preserve">Valuation date</x:t>
  </x:si>
  <x:si>
    <x:t xml:space="preserve">Value</x:t>
  </x:si>
  <x:si>
    <x:t xml:space="preserve">Cost of equity</x:t>
  </x:si>
  <x:si>
    <x:t xml:space="preserve">Risk-free rate</x:t>
  </x:si>
  <x:si>
    <x:t xml:space="preserve">Raw beta</x:t>
  </x:si>
  <x:si>
    <x:t xml:space="preserve">Adjusted beta </x:t>
  </x:si>
  <x:si>
    <x:t xml:space="preserve">Peer Blended Beta</x:t>
  </x:si>
  <x:si>
    <x:t xml:space="preserve">Cost of debt</x:t>
  </x:si>
  <x:si>
    <x:t xml:space="preserve">Calculated Beta</x:t>
  </x:si>
  <x:si>
    <x:t xml:space="preserve">2030 Bond (€500m, 3.625%, due May-2030) — YTM at issuance, 21-May-2024 (20-F p.266)</x:t>
  </x:si>
  <x:si>
    <x:t xml:space="preserve">Equity risk premium</x:t>
  </x:si>
  <x:si>
    <x:t xml:space="preserve">Less: 10Y German Bund on issuance date, 21-May-2024</x:t>
  </x:si>
  <x:si>
    <x:t xml:space="preserve">Cost of equity (Ke = rf + β × (ERP + CRP))</x:t>
  </x:si>
  <x:si>
    <x:t xml:space="preserve">Ferrari credit spread implied at issuance</x:t>
  </x:si>
  <x:si>
    <x:t xml:space="preserve">Pre-tax cost of debt = rf (30-Jun-2026, G10) + issuance credit spread (G20)</x:t>
  </x:si>
  <x:si>
    <x:t xml:space="preserve">Marginal tax rate — Italian IRES 24.0% (interest not deductible for IRAP; memo §5)</x:t>
  </x:si>
  <x:si>
    <x:t xml:space="preserve">YTM at issuance</x:t>
  </x:si>
  <x:si>
    <x:t xml:space="preserve">After-tax cost of debt (Kd × (1 − t))</x:t>
  </x:si>
  <x:si>
    <x:t xml:space="preserve">Average rate on outstanding term loans</x:t>
  </x:si>
  <x:si>
    <x:t xml:space="preserve">Memo: legacy stack — term loans avg 2.66% (Dec-25); FY2025 implied avg rate ~2.43% (memo §4)</x:t>
  </x:si>
  <x:si>
    <x:t xml:space="preserve">Selected pre-tax cost of debt</x:t>
  </x:si>
  <x:si>
    <x:t xml:space="preserve">Marginal tax rate</x:t>
  </x:si>
  <x:si>
    <x:t xml:space="preserve">Capital structure </x:t>
  </x:si>
  <x:si>
    <x:t xml:space="preserve">Share price (€)</x:t>
  </x:si>
  <x:si>
    <x:t xml:space="preserve">Shares outstanding</x:t>
  </x:si>
  <x:si>
    <x:t xml:space="preserve">Method</x:t>
  </x:si>
  <x:si>
    <x:t xml:space="preserve">Blended beta</x:t>
  </x:si>
  <x:si>
    <x:t xml:space="preserve">Why you could use it</x:t>
  </x:si>
  <x:si>
    <x:t xml:space="preserve">Why I would / would not use it</x:t>
  </x:si>
  <x:si>
    <x:t xml:space="preserve">Market value of equity, E (€ thousand)</x:t>
  </x:si>
  <x:si>
    <x:t xml:space="preserve">Auto only excluding Stellantis, Aston Martin &amp; Volvo – Median</x:t>
  </x:si>
  <x:si>
    <x:t xml:space="preserve">Removes some peers with more unusual operating profiles/capital structures and the median further limits outlier influence. Produces a stable estimate based on the larger European OEMs.</x:t>
  </x:si>
  <x:si>
    <x:t xml:space="preserve">Do not use as primary. Excluding three companies is somewhat subjective and reduces an already small peer group. In particular, Aston Martin has luxury/scarcity characteristics that are relevant to Ferrari, so excluding it purely because it looks different can introduce selection bias.</x:t>
  </x:si>
  <x:si>
    <x:t xml:space="preserve">Market value of debt, D - industrial debt incl. leases (€ thousand)</x:t>
  </x:si>
  <x:si>
    <x:t xml:space="preserve">Auto only excluding Stellantis, Aston Martin &amp; Volvo – Mean</x:t>
  </x:si>
  <x:si>
    <x:t xml:space="preserve">Uses all observations in the restricted peer group rather than relying on the middle observation, so it captures the full range of betas within the selected peers.</x:t>
  </x:si>
  <x:si>
    <x:t xml:space="preserve">Do not use. It combines two weaknesses: a selectively reduced peer group and use of a mean. With a small sample, individual observations have a disproportionate effect on the result.</x:t>
  </x:si>
  <x:si>
    <x:t xml:space="preserve">Weight of equity, E/(D+E)</x:t>
  </x:si>
  <x:si>
    <x:t xml:space="preserve">use </x:t>
  </x:si>
  <x:si>
    <x:t xml:space="preserve">Auto only – Median</x:t>
  </x:si>
  <x:si>
    <x:t xml:space="preserve">Uses the full automotive peer group, so there is less subjective cherry-picking, while the median prevents unusual peers such as Volvo, Stellantis or Aston Martin from disproportionately determining Ferrari's beta. It reflects Ferrari's core economic activity as an automobile manufacturer while remaining robust to differences in peer size, leverage and business mix.</x:t>
  </x:si>
  <x:si>
    <x:t xml:space="preserve">USE. This gives the cleanest balance between comparability and statistical robustness.</x:t>
  </x:si>
  <x:si>
    <x:t xml:space="preserve">Weight of debt, D/(D+E)</x:t>
  </x:si>
  <x:si>
    <x:t xml:space="preserve">Auto only – Mean</x:t>
  </x:si>
  <x:si>
    <x:t xml:space="preserve">Uses the entire automotive peer group and incorporates information from every observation. It can be useful as a sensitivity case showing the effect of the higher-beta automotive peers.</x:t>
  </x:si>
  <x:si>
    <x:t xml:space="preserve">Do not use as primary. The mean is materially pushed upward by higher unlevered betas such as Volvo and Stellantis. With only seven automotive peers, these observations have a significant impact on the average.</x:t>
  </x:si>
  <x:si>
    <x:t xml:space="preserve">Auto &amp; Luxury – Median</x:t>
  </x:si>
  <x:si>
    <x:t xml:space="preserve">Recognises that Ferrari has characteristics of both an automaker and a luxury company, including exclusivity, brand strength, pricing power and high-net-worth customers. The median limits the effect of extreme observations.</x:t>
  </x:si>
  <x:si>
    <x:t xml:space="preserve">Do not use as primary. Hermès and LVMH may share Ferrari's luxury characteristics, but their underlying operating risks are substantially different. They do not manufacture automobiles and have different cost structures, capital intensity, product portfolios and demand dynamics. Including them risks mixing business-model characteristics with systematic operating risk.</x:t>
  </x:si>
  <x:si>
    <x:t xml:space="preserve">Auto &amp; Luxury – Mean</x:t>
  </x:si>
  <x:si>
    <x:t xml:space="preserve">Captures Ferrari's hybrid luxury/automotive positioning and uses all observations in the expanded peer group. Could serve as an upper sensitivity case.</x:t>
  </x:si>
  <x:si>
    <x:t xml:space="preserve">Do not use. It has both the comparability problem of including non-automotive luxury businesses and the outlier sensitivity of an arithmetic mean. Therefore it is the least clean methodology for estimating Ferrari's underlying automotive beta.</x:t>
  </x:si>
  <x:si>
    <x:t xml:space="preserve">WACC = E/(D+E) × Ke + D/(D+E) × Kd × (1 − t)</x:t>
  </x:si>
  <x:si>
    <x:t xml:space="preserve">Sensitivity: WACC by beta and equity risk premium</x:t>
  </x:si>
  <x:si>
    <x:t xml:space="preserve">β \ ERP</x:t>
  </x:si>
  <x:si>
    <x:t xml:space="preserve">0.59 (Raw)</x:t>
  </x:si>
  <x:si>
    <x:t xml:space="preserve">0.73 (Adjusted)</x:t>
  </x:si>
  <x:si>
    <x:t xml:space="preserve">0.79 (Peer)</x:t>
  </x:si>
  <x:si>
    <x:t xml:space="preserve">0.91 (Calculated)</x:t>
  </x:si>
  <x:si>
    <x:t xml:space="preserve">   Beta Calculation</x:t>
  </x:si>
  <x:si>
    <x:t xml:space="preserve">Peer Beta </x:t>
  </x:si>
  <x:si>
    <x:t xml:space="preserve">Date</x:t>
  </x:si>
  <x:si>
    <x:t xml:space="preserve">Ferrari (RACE IM)</x:t>
  </x:si>
  <x:si>
    <x:t xml:space="preserve">S&amp;P 500 (SPX)</x:t>
  </x:si>
  <x:si>
    <x:t xml:space="preserve">Stoxx Europe 600 (SXXP)</x:t>
  </x:si>
  <x:si>
    <x:t xml:space="preserve">Ferrari return</x:t>
  </x:si>
  <x:si>
    <x:t xml:space="preserve">S&amp;P 500 return</x:t>
  </x:si>
  <x:si>
    <x:t xml:space="preserve">Stoxx 600 return</x:t>
  </x:si>
  <x:si>
    <x:t xml:space="preserve">Bloomberg Ticker</x:t>
  </x:si>
  <x:si>
    <x:t xml:space="preserve">Levered RAW Beta  SP500 Weekly</x:t>
  </x:si>
  <x:si>
    <x:t xml:space="preserve">Levered RAW Beta  5Y Weekly stoxx Europe 600</x:t>
  </x:si>
  <x:si>
    <x:t xml:space="preserve">Tax Rate</x:t>
  </x:si>
  <x:si>
    <x:t xml:space="preserve">D/E</x:t>
  </x:si>
  <x:si>
    <x:t xml:space="preserve">Unlevered Beta SP500 weekly</x:t>
  </x:si>
  <x:si>
    <x:t xml:space="preserve">Unlevered Beta stoxx Europe 600</x:t>
  </x:si>
  <x:si>
    <x:t xml:space="preserve">BMW</x:t>
  </x:si>
  <x:si>
    <x:t xml:space="preserve">BMW GY Equity </x:t>
  </x:si>
  <x:si>
    <x:t xml:space="preserve">Mercedes-Benz</x:t>
  </x:si>
  <x:si>
    <x:t xml:space="preserve">MBG GY Equity </x:t>
  </x:si>
  <x:si>
    <x:t xml:space="preserve">Porsche</x:t>
  </x:si>
  <x:si>
    <x:t xml:space="preserve">P911 GY Equity </x:t>
  </x:si>
  <x:si>
    <x:t xml:space="preserve">Volkwagen </x:t>
  </x:si>
  <x:si>
    <x:t xml:space="preserve">VOW3 GY Equity </x:t>
  </x:si>
  <x:si>
    <x:t xml:space="preserve">stellantis</x:t>
  </x:si>
  <x:si>
    <x:t xml:space="preserve">STLAM IM Equity </x:t>
  </x:si>
  <x:si>
    <x:t xml:space="preserve">aston martin</x:t>
  </x:si>
  <x:si>
    <x:t xml:space="preserve">AML LN Equity</x:t>
  </x:si>
  <x:si>
    <x:t xml:space="preserve">Volvo</x:t>
  </x:si>
  <x:si>
    <x:t xml:space="preserve">VOLCARB </x:t>
  </x:si>
  <x:si>
    <x:t xml:space="preserve">Hermès</x:t>
  </x:si>
  <x:si>
    <x:t xml:space="preserve">RMS FP Equity </x:t>
  </x:si>
  <x:si>
    <x:t xml:space="preserve">LVMH</x:t>
  </x:si>
  <x:si>
    <x:t xml:space="preserve">MC FP Equity </x:t>
  </x:si>
  <x:si>
    <x:t xml:space="preserve">Ferrari</x:t>
  </x:si>
  <x:si>
    <x:t xml:space="preserve">RACE IM (US) Equity</x:t>
  </x:si>
  <x:si>
    <x:t xml:space="preserve">Weightings</x:t>
  </x:si>
  <x:si>
    <x:t xml:space="preserve">Unlevered Averages</x:t>
  </x:si>
  <x:si>
    <x:t xml:space="preserve">Weighting of Exchanges</x:t>
  </x:si>
  <x:si>
    <x:t xml:space="preserve">NYSE</x:t>
  </x:si>
  <x:si>
    <x:t xml:space="preserve">Milan</x:t>
  </x:si>
  <x:si>
    <x:t xml:space="preserve">Auto only (Exclduing STLAM, AML &amp; Volvo)</x:t>
  </x:si>
  <x:si>
    <x:t xml:space="preserve">Median</x:t>
  </x:si>
  <x:si>
    <x:t xml:space="preserve">AVDG</x:t>
  </x:si>
  <x:si>
    <x:t xml:space="preserve">Mean</x:t>
  </x:si>
  <x:si>
    <x:t xml:space="preserve">Estimated Weighting</x:t>
  </x:si>
  <x:si>
    <x:t xml:space="preserve">Auto only</x:t>
  </x:si>
  <x:si>
    <x:t xml:space="preserve">Auto &amp; Luxury</x:t>
  </x:si>
  <x:si>
    <x:t xml:space="preserve">Relevered</x:t>
  </x:si>
  <x:si>
    <x:t xml:space="preserve">Weighted Blend beta</x:t>
  </x:si>
  <x:si>
    <x:t xml:space="preserve">Own Beta Regression - Ferrari weekly returns vs S&amp;P 500 and Stoxx Europe 600</x:t>
  </x:si>
  <x:si>
    <x:t xml:space="preserve">Regression output</x:t>
  </x:si>
  <x:si>
    <x:t xml:space="preserve">vs S&amp;P 500</x:t>
  </x:si>
  <x:si>
    <x:t xml:space="preserve">vs Stoxx Europe 600</x:t>
  </x:si>
  <x:si>
    <x:t xml:space="preserve">Weighted Blend</x:t>
  </x:si>
  <x:si>
    <x:t xml:space="preserve">Beta</x:t>
  </x:si>
  <x:si>
    <x:t xml:space="preserve">Alpha (weekly)</x:t>
  </x:si>
  <x:si>
    <x:t xml:space="preserve">Correlation</x:t>
  </x:si>
  <x:si>
    <x:t xml:space="preserve">R²</x:t>
  </x:si>
  <x:si>
    <x:t xml:space="preserve">Observations</x:t>
  </x:si>
  <x:si>
    <x:t xml:space="preserve">   Free Cash Flows</x:t>
  </x:si>
  <x:si>
    <x:t xml:space="preserve">Unlevered free cash flow</x:t>
  </x:si>
  <x:si>
    <x:t xml:space="preserve">EBIT</x:t>
  </x:si>
  <x:si>
    <x:t xml:space="preserve">Less: result from investments</x:t>
  </x:si>
  <x:si>
    <x:t xml:space="preserve">Core operating EBIT</x:t>
  </x:si>
  <x:si>
    <x:t xml:space="preserve">NOPAT</x:t>
  </x:si>
  <x:si>
    <x:t xml:space="preserve">Add: D&amp;A </x:t>
  </x:si>
  <x:si>
    <x:t xml:space="preserve">Less: capex</x:t>
  </x:si>
  <x:si>
    <x:t xml:space="preserve">Less: increase / add: decrease in operating NWC</x:t>
  </x:si>
  <x:si>
    <x:t xml:space="preserve">FCF margin (% of net revenues)</x:t>
  </x:si>
  <x:si>
    <x:t xml:space="preserve">FCF conversion (FCF ÷ NOPAT)</x:t>
  </x:si>
  <x:si>
    <x:t xml:space="preserve">   Discounted Cash Flows Valuation</x:t>
  </x:si>
  <x:si>
    <x:t xml:space="preserve">WACC</x:t>
  </x:si>
  <x:si>
    <x:t xml:space="preserve">Terminal growth rate (g)</x:t>
  </x:si>
  <x:si>
    <x:t xml:space="preserve">Valuation date roll-forward</x:t>
  </x:si>
  <x:si>
    <x:t xml:space="preserve">Forecast free cash flows</x:t>
  </x:si>
  <x:si>
    <x:t xml:space="preserve">Unlevered FCF </x:t>
  </x:si>
  <x:si>
    <x:t xml:space="preserve">Discount factor</x:t>
  </x:si>
  <x:si>
    <x:t xml:space="preserve">PV of FCF</x:t>
  </x:si>
  <x:si>
    <x:t xml:space="preserve">Sum of PV, FY2026-35</x:t>
  </x:si>
  <x:si>
    <x:t xml:space="preserve">Terminal value (Gordon growth)</x:t>
  </x:si>
  <x:si>
    <x:t xml:space="preserve">FCF FY2036 = FY2035 FCF × (1 + g)</x:t>
  </x:si>
  <x:si>
    <x:t xml:space="preserve">Terminal value at end-FY2035</x:t>
  </x:si>
  <x:si>
    <x:t xml:space="preserve">PV of terminal value</x:t>
  </x:si>
  <x:si>
    <x:t xml:space="preserve">Implied exit EV/EBITDA at FY2035</x:t>
  </x:si>
  <x:si>
    <x:t xml:space="preserve">Terminal value as % of enterprise value</x:t>
  </x:si>
  <x:si>
    <x:t xml:space="preserve">Enterprise Value</x:t>
  </x:si>
  <x:si>
    <x:t xml:space="preserve">Net Debt, 31-Dec-2025</x:t>
  </x:si>
  <x:si>
    <x:t xml:space="preserve">Non-controlling interests (book value)</x:t>
  </x:si>
  <x:si>
    <x:t xml:space="preserve">Equity value</x:t>
  </x:si>
  <x:si>
    <x:t xml:space="preserve">Shares outstanding (WACC tab)</x:t>
  </x:si>
  <x:si>
    <x:t xml:space="preserve">Implied value per share (€)</x:t>
  </x:si>
  <x:si>
    <x:t xml:space="preserve">Base WACC</x:t>
  </x:si>
  <x:si>
    <x:t xml:space="preserve">Base terminal growth (g)</x:t>
  </x:si>
  <x:si>
    <x:t xml:space="preserve">WACC step</x:t>
  </x:si>
  <x:si>
    <x:t xml:space="preserve">Growth step</x:t>
  </x:si>
  <x:si>
    <x:t xml:space="preserve">Current share price (€)</x:t>
  </x:si>
  <x:si>
    <x:t xml:space="preserve">WACC \ G </x:t>
  </x:si>
  <x:si>
    <x:t xml:space="preserve">Legend:</x:t>
  </x:si>
  <x:si>
    <x:t xml:space="preserve">≤1.5%</x:t>
  </x:si>
  <x:si>
    <x:t xml:space="preserve">≤3%</x:t>
  </x:si>
  <x:si>
    <x:t xml:space="preserve">≤4.5%</x:t>
  </x:si>
  <x:si>
    <x:t xml:space="preserve">≤6%</x:t>
  </x:si>
  <x:si>
    <x:t xml:space="preserve">≤8%</x:t>
  </x:si>
  <x:si>
    <x:t xml:space="preserve">≤10%</x:t>
  </x:si>
  <x:si>
    <x:t xml:space="preserve">≤12.5%</x:t>
  </x:si>
  <x:si>
    <x:t xml:space="preserve">≤15%</x:t>
  </x:si>
  <x:si>
    <x:t xml:space="preserve">≤17.5%</x:t>
  </x:si>
  <x:si>
    <x:t xml:space="preserve">≤20%</x:t>
  </x:si>
  <x:si>
    <x:t xml:space="preserve">&gt;20%</x:t>
  </x:si>
  <x:si>
    <x:t xml:space="preserve">   Multiples Valuation </x:t>
  </x:si>
  <x:si>
    <x:t xml:space="preserve">Market Information</x:t>
  </x:si>
  <x:si>
    <x:t xml:space="preserve">LTM — trailing 12M</x:t>
  </x:si>
  <x:si>
    <x:r>
      <x:rPr>
        <x:b/>
        <x:sz val="1200"/>
        <x:color rgb="FF000000"/>
      </x:rPr>
      <x:t xml:space="preserve">Bloomberg Estimartes  NTM (1BF) </x:t>
    </x:r>
    <x:r>
      <x:rPr>
        <x:sz val="1200"/>
        <x:color rgb="FF000000"/>
        <x:rFont val="Aptos Narrow"/>
      </x:rPr>
      <x:t xml:space="preserve">Except Ferrari</x:t>
    </x:r>
  </x:si>
  <x:si>
    <x:t xml:space="preserve">Trailing multiples</x:t>
  </x:si>
  <x:si>
    <x:t xml:space="preserve">Forward multiples</x:t>
  </x:si>
  <x:si>
    <x:t xml:space="preserve">Ticker</x:t>
  </x:si>
  <x:si>
    <x:t xml:space="preserve">Rpt crncy</x:t>
  </x:si>
  <x:si>
    <x:t xml:space="preserve">Price (€)</x:t>
  </x:si>
  <x:si>
    <x:t xml:space="preserve">Mkt cap</x:t>
  </x:si>
  <x:si>
    <x:t xml:space="preserve">EV</x:t>
  </x:si>
  <x:si>
    <x:t xml:space="preserve">Sales</x:t>
  </x:si>
  <x:si>
    <x:t xml:space="preserve">EV/Sales</x:t>
  </x:si>
  <x:si>
    <x:t xml:space="preserve">EV/EBITDA</x:t>
  </x:si>
  <x:si>
    <x:t xml:space="preserve">EV/EBIT</x:t>
  </x:si>
  <x:si>
    <x:t xml:space="preserve">P/E</x:t>
  </x:si>
  <x:si>
    <x:t xml:space="preserve">TSR</x:t>
  </x:si>
  <x:si>
    <x:t xml:space="preserve">Ferrari N.V. (target)</x:t>
  </x:si>
  <x:si>
    <x:t xml:space="preserve">RACE IM</x:t>
  </x:si>
  <x:si>
    <x:t xml:space="preserve">EUR</x:t>
  </x:si>
  <x:si>
    <x:t xml:space="preserve">BMW AG</x:t>
  </x:si>
  <x:si>
    <x:t xml:space="preserve">BMW GY</x:t>
  </x:si>
  <x:si>
    <x:t xml:space="preserve">Mercedes-Benz Group AG</x:t>
  </x:si>
  <x:si>
    <x:t xml:space="preserve">MBG GY</x:t>
  </x:si>
  <x:si>
    <x:t xml:space="preserve">Volkswagen AG (Pref)</x:t>
  </x:si>
  <x:si>
    <x:t xml:space="preserve">VOW3 GY</x:t>
  </x:si>
  <x:si>
    <x:t xml:space="preserve">Dr. Ing. h.c. F. Porsche AG</x:t>
  </x:si>
  <x:si>
    <x:t xml:space="preserve">P911 GY</x:t>
  </x:si>
  <x:si>
    <x:t xml:space="preserve">X</x:t>
  </x:si>
  <x:si>
    <x:t xml:space="preserve">Stellantis N.V.</x:t>
  </x:si>
  <x:si>
    <x:t xml:space="preserve">STLAM IM</x:t>
  </x:si>
  <x:si>
    <x:t xml:space="preserve">n/m</x:t>
  </x:si>
  <x:si>
    <x:t xml:space="preserve">General Motors Co.</x:t>
  </x:si>
  <x:si>
    <x:t xml:space="preserve">GM US</x:t>
  </x:si>
  <x:si>
    <x:t xml:space="preserve">USD</x:t>
  </x:si>
  <x:si>
    <x:t xml:space="preserve">Aston Martin Lagonda</x:t>
  </x:si>
  <x:si>
    <x:t xml:space="preserve">AML LN</x:t>
  </x:si>
  <x:si>
    <x:t xml:space="preserve">GBp</x:t>
  </x:si>
  <x:si>
    <x:t xml:space="preserve">Hermès International</x:t>
  </x:si>
  <x:si>
    <x:t xml:space="preserve">RMS FP</x:t>
  </x:si>
  <x:si>
    <x:t xml:space="preserve">LVMH Moët Hennessy</x:t>
  </x:si>
  <x:si>
    <x:t xml:space="preserve">MC FP</x:t>
  </x:si>
  <x:si>
    <x:t xml:space="preserve">Kering SA</x:t>
  </x:si>
  <x:si>
    <x:t xml:space="preserve">KER FP</x:t>
  </x:si>
  <x:si>
    <x:t xml:space="preserve">Richemont (Cie Fin.)</x:t>
  </x:si>
  <x:si>
    <x:t xml:space="preserve">CFR SW</x:t>
  </x:si>
  <x:si>
    <x:t xml:space="preserve">CHF</x:t>
  </x:si>
  <x:si>
    <x:t xml:space="preserve">Moncler S.p.A.</x:t>
  </x:si>
  <x:si>
    <x:t xml:space="preserve">MONC IM</x:t>
  </x:si>
  <x:si>
    <x:t xml:space="preserve">Brunello Cucinelli S.p.A.</x:t>
  </x:si>
  <x:si>
    <x:t xml:space="preserve">BC IM</x:t>
  </x:si>
  <x:si>
    <x:t xml:space="preserve">Prada S.p.A.</x:t>
  </x:si>
  <x:si>
    <x:t xml:space="preserve">1913 HK</x:t>
  </x:si>
  <x:si>
    <x:t xml:space="preserve">HKD</x:t>
  </x:si>
  <x:si>
    <x:t xml:space="preserve">Burberry Group plc</x:t>
  </x:si>
  <x:si>
    <x:t xml:space="preserve">BRBY LN</x:t>
  </x:si>
  <x:si>
    <x:t xml:space="preserve">Actual price (€)</x:t>
  </x:si>
  <x:si>
    <x:t xml:space="preserve">Peer mean (All)</x:t>
  </x:si>
  <x:si>
    <x:t xml:space="preserve">Shares out (thousand)</x:t>
  </x:si>
  <x:si>
    <x:t xml:space="preserve">Peer median (All)</x:t>
  </x:si>
  <x:si>
    <x:t xml:space="preserve">Net debt (€ thousand)</x:t>
  </x:si>
  <x:si>
    <x:t xml:space="preserve">Mean (Autos)</x:t>
  </x:si>
  <x:si>
    <x:t xml:space="preserve">LTM Sales</x:t>
  </x:si>
  <x:si>
    <x:t xml:space="preserve">Median (Autos)</x:t>
  </x:si>
  <x:si>
    <x:t xml:space="preserve">LTM EBITDA</x:t>
  </x:si>
  <x:si>
    <x:t xml:space="preserve">Mean (Luxury)</x:t>
  </x:si>
  <x:si>
    <x:t xml:space="preserve">LTM EBIT</x:t>
  </x:si>
  <x:si>
    <x:t xml:space="preserve">Median (Luxury)</x:t>
  </x:si>
  <x:si>
    <x:t xml:space="preserve">LTM EPS (€)</x:t>
  </x:si>
  <x:si>
    <x:t xml:space="preserve">Mean (TSR peer group)</x:t>
  </x:si>
  <x:si>
    <x:t xml:space="preserve">NTM Sales</x:t>
  </x:si>
  <x:si>
    <x:t xml:space="preserve">Median (TSR peer group)</x:t>
  </x:si>
  <x:si>
    <x:t xml:space="preserve">NTM EBITDA</x:t>
  </x:si>
  <x:si>
    <x:t xml:space="preserve">NTM EBIT</x:t>
  </x:si>
  <x:si>
    <x:t xml:space="preserve">NTM EPS (€)</x:t>
  </x:si>
  <x:si>
    <x:t xml:space="preserve">Multiple</x:t>
  </x:si>
  <x:si>
    <x:t xml:space="preserve">Multiple selection &amp; weighted valuation</x:t>
  </x:si>
  <x:si>
    <x:t xml:space="preserve">Weight</x:t>
  </x:si>
  <x:si>
    <x:t xml:space="preserve">Contribution</x:t>
  </x:si>
  <x:si>
    <x:t xml:space="preserve">EV/Sales (fwd)</x:t>
  </x:si>
  <x:si>
    <x:t xml:space="preserve">EV/EBITDA (fwd)</x:t>
  </x:si>
  <x:si>
    <x:t xml:space="preserve">EV/EBIT (fwd)</x:t>
  </x:si>
  <x:si>
    <x:t xml:space="preserve">P/E (fwd)</x:t>
  </x:si>
  <x:si>
    <x:t xml:space="preserve">Weighted implied Price</x:t>
  </x:si>
  <x:si>
    <x:t xml:space="preserve">   Dividend Discount Model Valuation</x:t>
  </x:si>
  <x:si>
    <x:t xml:space="preserve">Method 1: Growth </x:t>
  </x:si>
  <x:si>
    <x:t xml:space="preserve">Dividend per Share (€, declared for fiscal year)</x:t>
  </x:si>
  <x:si>
    <x:t xml:space="preserve">YoY Dividend Growth</x:t>
  </x:si>
  <x:si>
    <x:t xml:space="preserve">Average Dividend Growth </x:t>
  </x:si>
  <x:si>
    <x:t xml:space="preserve">PV of dividends</x:t>
  </x:si>
  <x:si>
    <x:t xml:space="preserve">Sum of PV</x:t>
  </x:si>
  <x:si>
    <x:t xml:space="preserve">Terminal value (Gordon on FY2035 DPS, discounted)</x:t>
  </x:si>
  <x:si>
    <x:t xml:space="preserve">Intrinsic Value per Share (DDM)</x:t>
  </x:si>
  <x:si>
    <x:t xml:space="preserve">Method 2: Payout Method</x:t>
  </x:si>
  <x:si>
    <x:t xml:space="preserve">Weighted Average of Methods</x:t>
  </x:si>
  <x:si>
    <x:t xml:space="preserve">Weight - Method 1 (Growth extrapolation)</x:t>
  </x:si>
  <x:si>
    <x:t xml:space="preserve">Weight - Method 2 (Payout-based)</x:t>
  </x:si>
  <x:si>
    <x:t xml:space="preserve">Blended Intrinsic Value per Share (DDM)</x:t>
  </x:si>
  <x:si>
    <x:t xml:space="preserve">Graphs and other</x:t>
  </x:si>
  <x:si>
    <x:t xml:space="preserve">5 pixel</x:t>
  </x:si>
  <x:si>
    <x:t xml:space="preserve">S&amp;P 500</x:t>
  </x:si>
  <x:si>
    <x:t xml:space="preserve">Stoxx Europe 600</x:t>
  </x:si>
  <x:si>
    <x:t xml:space="preserve">Year</x:t>
  </x:si>
  <x:si>
    <x:t xml:space="preserve">EBITDA margin (%)</x:t>
  </x:si>
  <x:si>
    <x:t xml:space="preserve">EBIT margin (%)</x:t>
  </x:si>
  <x:si>
    <x:t xml:space="preserve">Revenue per car (€k)</x:t>
  </x:si>
  <x:si>
    <x:t xml:space="preserve">FY21</x:t>
  </x:si>
  <x:si>
    <x:t xml:space="preserve">FY22</x:t>
  </x:si>
  <x:si>
    <x:t xml:space="preserve">Driver</x:t>
  </x:si>
  <x:si>
    <x:t xml:space="preserve">FY2026E</x:t>
  </x:si>
  <x:si>
    <x:t xml:space="preserve">FY2035E</x:t>
  </x:si>
  <x:si>
    <x:t xml:space="preserve">FY23</x:t>
  </x:si>
  <x:si>
    <x:t xml:space="preserve">Shipment growth</x:t>
  </x:si>
  <x:si>
    <x:t xml:space="preserve">FY24</x:t>
  </x:si>
  <x:si>
    <x:t xml:space="preserve">Cars and spare-parts growth</x:t>
  </x:si>
  <x:si>
    <x:t xml:space="preserve">FY25</x:t>
  </x:si>
  <x:si>
    <x:t xml:space="preserve">Sponsorship and brand growth</x:t>
  </x:si>
  <x:si>
    <x:t xml:space="preserve">FY26F</x:t>
  </x:si>
  <x:si>
    <x:t xml:space="preserve">Cost of sales/revenue</x:t>
  </x:si>
  <x:si>
    <x:t xml:space="preserve">FY27F</x:t>
  </x:si>
  <x:si>
    <x:t xml:space="preserve">Capex/revenue</x:t>
  </x:si>
  <x:si>
    <x:t xml:space="preserve">FY28F</x:t>
  </x:si>
  <x:si>
    <x:t xml:space="preserve">Forecast sources</x:t>
  </x:si>
  <x:si>
    <x:t xml:space="preserve">Debt and Capex/D&amp;A schedules</x:t>
  </x:si>
  <x:si>
    <x:t xml:space="preserve">FY29F</x:t>
  </x:si>
  <x:si>
    <x:t xml:space="preserve">FY30F</x:t>
  </x:si>
  <x:si>
    <x:t xml:space="preserve">FY31F</x:t>
  </x:si>
  <x:si>
    <x:t xml:space="preserve">Beta triangulation</x:t>
  </x:si>
  <x:si>
    <x:t xml:space="preserve">FY32F</x:t>
  </x:si>
  <x:si>
    <x:t xml:space="preserve">Raw (5-y monthly)</x:t>
  </x:si>
  <x:si>
    <x:t xml:space="preserve">FY33F</x:t>
  </x:si>
  <x:si>
    <x:t xml:space="preserve">Blume-adjusted</x:t>
  </x:si>
  <x:si>
    <x:t xml:space="preserve">FY34F</x:t>
  </x:si>
  <x:si>
    <x:t xml:space="preserve">Peer median (selected)</x:t>
  </x:si>
  <x:si>
    <x:t xml:space="preserve">FY35F</x:t>
  </x:si>
  <x:si>
    <x:t xml:space="preserve">Company regression (blended)</x:t>
  </x:si>
  <x:si>
    <x:t xml:space="preserve">Revanue Growth</x:t>
  </x:si>
  <x:si>
    <x:t xml:space="preserve">Revenue (€bn)</x:t>
  </x:si>
  <x:si>
    <x:t xml:space="preserve">Unlevered FCF (€bn)</x:t>
  </x:si>
  <x:si>
    <x:t xml:space="preserve">Revenue Growth</x:t>
  </x:si>
  <x:si>
    <x:t xml:space="preserve">FY2027E</x:t>
  </x:si>
  <x:si>
    <x:t xml:space="preserve">FY2028E</x:t>
  </x:si>
  <x:si>
    <x:t xml:space="preserve">FY2029E</x:t>
  </x:si>
  <x:si>
    <x:t xml:space="preserve">FY2030E</x:t>
  </x:si>
  <x:si>
    <x:t xml:space="preserve">FY2031E</x:t>
  </x:si>
  <x:si>
    <x:t xml:space="preserve">FY2032E</x:t>
  </x:si>
  <x:si>
    <x:t xml:space="preserve">FY2033E</x:t>
  </x:si>
  <x:si>
    <x:t xml:space="preserve">FY2034E</x:t>
  </x:si>
</x:sst>
</file>

<file path=xl/styles.xml><?xml version="1.0" encoding="utf-8"?>
<x:styleSheet xmlns:x="http://schemas.openxmlformats.org/spreadsheetml/2006/main">
  <x:numFmts count="16">
    <x:numFmt numFmtId="43" formatCode="_(* #,##0.00_);_(* \(#,##0.00\);_(* &quot;-&quot;??_);_(@_)"/>
    <x:numFmt numFmtId="164" formatCode="_(* #,##0.00_);_(* \(#,##0.00\);_(* \-??_);_(@_)"/>
    <x:numFmt numFmtId="165" formatCode="0.0%"/>
    <x:numFmt numFmtId="166" formatCode="0.0"/>
    <x:numFmt numFmtId="167" formatCode="m/d/yyyy"/>
    <x:numFmt numFmtId="168" formatCode="0.000"/>
    <x:numFmt numFmtId="169" formatCode="#,##0.0000000"/>
    <x:numFmt numFmtId="170" formatCode="0.00000"/>
    <x:numFmt numFmtId="171" formatCode="_(* #,##0_);_(* \(#,##0\);_(* \-??_);_(@_)"/>
    <x:numFmt numFmtId="172" formatCode="0.000%"/>
    <x:numFmt numFmtId="173" formatCode="0.0\x"/>
    <x:numFmt numFmtId="174" formatCode="0.0000"/>
    <x:numFmt numFmtId="175" formatCode="[$-809]dd\ mmmm\ yyyy;@"/>
    <x:numFmt numFmtId="183" formatCode="_(* #,##0_);_(* \(#,##0\);_(* &quot;-&quot;??_);_(@_)"/>
    <x:numFmt numFmtId="200" formatCode="dd mmm yyyy"/>
    <x:numFmt numFmtId="201" formatCode="€0.00"/>
  </x:numFmts>
  <x:fonts count="47">
    <x:font>
      <x:sz val="12"/>
      <x:color theme="1"/>
      <x:name val="Aptos Narrow"/>
    </x:font>
    <x:font>
      <x:sz val="10"/>
      <x:name val="Arial"/>
    </x:font>
    <x:font>
      <x:sz val="10"/>
      <x:name val="Arial"/>
    </x:font>
    <x:font>
      <x:b/>
      <x:sz val="40"/>
      <x:color rgb="FFD40000"/>
      <x:name val="Arial"/>
    </x:font>
    <x:font>
      <x:b/>
      <x:sz val="15"/>
      <x:color rgb="FFFFFFFF"/>
      <x:name val="Arial"/>
    </x:font>
    <x:font>
      <x:b/>
      <x:sz val="11"/>
      <x:color rgb="FFFFD800"/>
      <x:name val="Arial"/>
    </x:font>
    <x:font>
      <x:sz val="12"/>
      <x:color theme="0"/>
      <x:name val="Aptos Narrow"/>
    </x:font>
    <x:font>
      <x:b/>
      <x:sz val="8"/>
      <x:color rgb="FFFFD800"/>
      <x:name val="Arial"/>
    </x:font>
    <x:font>
      <x:sz val="22"/>
      <x:color theme="0"/>
      <x:name val="Arial"/>
    </x:font>
    <x:font>
      <x:b/>
      <x:sz val="12"/>
      <x:color theme="1"/>
      <x:name val="Aptos Narrow"/>
    </x:font>
    <x:font>
      <x:b/>
      <x:sz val="10"/>
      <x:color rgb="FFFFFFFF"/>
      <x:name val="Arial"/>
    </x:font>
    <x:font>
      <x:sz val="12"/>
      <x:name val="Aptos Narrow"/>
    </x:font>
    <x:font>
      <x:b/>
      <x:sz val="12"/>
      <x:name val="Aptos Narrow"/>
    </x:font>
    <x:font>
      <x:sz val="12"/>
      <x:color theme="1"/>
      <x:name val="Aptos Narrow"/>
    </x:font>
    <x:font>
      <x:i/>
      <x:sz val="12"/>
      <x:name val="Aptos Narrow"/>
    </x:font>
    <x:font>
      <x:sz val="12"/>
      <x:color rgb="FF000000"/>
      <x:name val="Aptos Narrow"/>
    </x:font>
    <x:font>
      <x:sz val="12"/>
      <x:color rgb="FF0000FF"/>
      <x:name val="Aptos Narrow"/>
    </x:font>
    <x:font>
      <x:b/>
      <x:sz val="12"/>
      <x:color theme="1"/>
      <x:name val="Aptos Narrow"/>
    </x:font>
    <x:font>
      <x:sz val="12"/>
      <x:color rgb="FF000000"/>
      <x:name val="Aptos Narrow"/>
    </x:font>
    <x:font>
      <x:b/>
      <x:sz val="11"/>
      <x:color rgb="FFFFFFFF"/>
      <x:name val="Arial"/>
    </x:font>
    <x:font>
      <x:sz val="11"/>
      <x:color theme="1"/>
      <x:name val="Aptos Narrow"/>
    </x:font>
    <x:font>
      <x:sz val="12"/>
      <x:color theme="10"/>
      <x:name val="Aptos Narrow"/>
    </x:font>
    <x:font>
      <x:sz val="12"/>
      <x:color theme="1"/>
      <x:name val="Aptos Narrow"/>
    </x:font>
    <x:font>
      <x:sz val="10"/>
      <x:color rgb="FF000000"/>
      <x:name val="Arial"/>
    </x:font>
    <x:font>
      <x:sz val="22"/>
      <x:color theme="0"/>
      <x:name val="Arial"/>
    </x:font>
    <x:font>
      <x:sz val="12"/>
      <x:color theme="1"/>
      <x:name val="Arial"/>
    </x:font>
    <x:font>
      <x:b/>
      <x:sz val="12"/>
      <x:color theme="1"/>
      <x:name val="Arial"/>
    </x:font>
    <x:font>
      <x:b/>
      <x:sz val="12"/>
      <x:name val="Arial"/>
    </x:font>
    <x:font>
      <x:sz val="12"/>
      <x:name val="Arial"/>
    </x:font>
    <x:font>
      <x:sz val="10"/>
      <x:color rgb="FF000000"/>
      <x:name val="Tahoma"/>
    </x:font>
    <x:font>
      <x:b/>
      <x:sz val="10"/>
      <x:color rgb="FF000000"/>
      <x:name val="Tahoma"/>
    </x:font>
    <x:font>
      <x:b/>
      <x:sz val="12"/>
      <x:color rgb="FF000000"/>
      <x:name val="Aptos Narrow"/>
    </x:font>
    <x:font>
      <x:b/>
      <x:i/>
      <x:sz val="12"/>
      <x:color theme="1"/>
      <x:name val="Aptos Narrow"/>
    </x:font>
    <x:font>
      <x:b/>
      <x:sz val="11"/>
      <x:color theme="1"/>
      <x:name val="Aptos Narrow"/>
    </x:font>
    <x:font>
      <x:i/>
      <x:sz val="11"/>
      <x:color theme="1"/>
      <x:name val="Aptos Narrow"/>
    </x:font>
    <x:font>
      <x:sz val="8"/>
      <x:color theme="1"/>
      <x:name val="Aptos Narrow"/>
    </x:font>
    <x:font>
      <x:i/>
      <x:sz val="10"/>
      <x:color theme="1"/>
      <x:name val="Aptos Narrow"/>
    </x:font>
    <x:font>
      <x:sz val="8"/>
      <x:name val="Aptos Narrow"/>
    </x:font>
    <x:font>
      <x:i/>
      <x:sz val="12"/>
      <x:color theme="1"/>
      <x:name val="Aptos Narrow"/>
    </x:font>
    <x:font>
      <x:b/>
      <x:sz val="10"/>
      <x:color theme="1"/>
      <x:name val="Arial"/>
    </x:font>
    <x:font>
      <x:sz val="10"/>
      <x:color theme="1"/>
      <x:name val="Arial"/>
    </x:font>
    <x:font>
      <x:sz val="12"/>
      <x:color rgb="FF000000"/>
      <x:name val="Arial"/>
    </x:font>
    <x:font>
      <x:sz val="12"/>
      <x:color rgb="FFC00000"/>
      <x:name val="Aptos Narrow"/>
    </x:font>
    <x:font>
      <x:b/>
      <x:sz val="12"/>
      <x:color rgb="FFC00000"/>
      <x:name val="Aptos Narrow"/>
    </x:font>
    <x:font>
      <x:b/>
      <x:sz val="20"/>
      <x:color rgb="FFFFFFFF"/>
      <x:name val="Aptos Narrow"/>
    </x:font>
    <x:font>
      <x:b/>
      <x:sz val="12"/>
      <x:color rgb="FF323232"/>
      <x:name val="Aptos Narrow"/>
    </x:font>
    <x:font>
      <x:b/>
      <x:sz val="12"/>
      <x:color rgb="FF111111"/>
      <x:name val="Aptos Narrow"/>
    </x:font>
  </x:fonts>
  <x:fills count="47">
    <x:fill>
      <x:patternFill patternType="none"/>
    </x:fill>
    <x:fill>
      <x:patternFill patternType="gray125"/>
    </x:fill>
    <x:fill>
      <x:patternFill patternType="solid">
        <x:fgColor rgb="FF141414"/>
      </x:patternFill>
    </x:fill>
    <x:fill>
      <x:patternFill patternType="solid">
        <x:fgColor rgb="FF008C44"/>
      </x:patternFill>
    </x:fill>
    <x:fill>
      <x:patternFill patternType="solid">
        <x:fgColor theme="0"/>
      </x:patternFill>
    </x:fill>
    <x:fill>
      <x:patternFill patternType="solid">
        <x:fgColor rgb="FFD40000"/>
      </x:patternFill>
    </x:fill>
    <x:fill>
      <x:patternFill patternType="solid">
        <x:fgColor rgb="FF232323"/>
      </x:patternFill>
    </x:fill>
    <x:fill>
      <x:patternFill patternType="solid">
        <x:fgColor theme="0" tint="-0.24998"/>
      </x:patternFill>
    </x:fill>
    <x:fill>
      <x:patternFill patternType="solid">
        <x:fgColor theme="0" tint="-0.04999"/>
      </x:patternFill>
    </x:fill>
    <x:fill>
      <x:patternFill patternType="solid">
        <x:fgColor theme="0" tint="-0.15"/>
      </x:patternFill>
    </x:fill>
    <x:fill>
      <x:patternFill patternType="solid">
        <x:fgColor theme="3" tint="0.7496"/>
      </x:patternFill>
    </x:fill>
    <x:fill>
      <x:patternFill patternType="solid">
        <x:fgColor theme="3" tint="0.8999"/>
      </x:patternFill>
    </x:fill>
    <x:fill>
      <x:patternFill patternType="solid">
        <x:fgColor theme="1"/>
      </x:patternFill>
    </x:fill>
    <x:fill>
      <x:patternFill patternType="solid">
        <x:fgColor theme="0"/>
      </x:patternFill>
    </x:fill>
    <x:fill>
      <x:patternFill patternType="solid">
        <x:fgColor theme="3" tint="0.89999"/>
      </x:patternFill>
    </x:fill>
    <x:fill>
      <x:patternFill patternType="solid">
        <x:fgColor theme="0"/>
      </x:patternFill>
    </x:fill>
    <x:fill>
      <x:patternFill patternType="solid">
        <x:fgColor theme="0"/>
      </x:patternFill>
    </x:fill>
    <x:fill>
      <x:patternFill patternType="solid">
        <x:fgColor theme="0" tint="-0.15"/>
      </x:patternFill>
    </x:fill>
    <x:fill>
      <x:patternFill patternType="solid">
        <x:fgColor theme="0" tint="-0.04999"/>
      </x:patternFill>
    </x:fill>
    <x:fill>
      <x:patternFill patternType="solid">
        <x:fgColor theme="0"/>
      </x:patternFill>
    </x:fill>
    <x:fill>
      <x:patternFill patternType="solid">
        <x:fgColor theme="0" tint="-0.04999"/>
      </x:patternFill>
    </x:fill>
    <x:fill>
      <x:patternFill patternType="solid">
        <x:fgColor rgb="FFD9D9D9"/>
      </x:patternFill>
    </x:fill>
    <x:fill>
      <x:patternFill patternType="solid">
        <x:fgColor theme="0"/>
      </x:patternFill>
    </x:fill>
    <x:fill>
      <x:patternFill patternType="solid">
        <x:fgColor theme="0" tint="-0.24998"/>
      </x:patternFill>
    </x:fill>
    <x:fill>
      <x:patternFill patternType="solid">
        <x:fgColor theme="0" tint="-0.24998"/>
      </x:patternFill>
    </x:fill>
    <x:fill>
      <x:patternFill patternType="solid">
        <x:fgColor theme="0" tint="-0.15"/>
      </x:patternFill>
    </x:fill>
    <x:fill>
      <x:patternFill patternType="solid">
        <x:fgColor theme="0" tint="-0.04999"/>
      </x:patternFill>
    </x:fill>
    <x:fill>
      <x:patternFill patternType="solid">
        <x:fgColor theme="0"/>
      </x:patternFill>
    </x:fill>
    <x:fill>
      <x:patternFill patternType="solid">
        <x:fgColor rgb="FFF2F2F2"/>
      </x:patternFill>
    </x:fill>
    <x:fill>
      <x:patternFill patternType="solid">
        <x:fgColor rgb="FF63BE7B"/>
      </x:patternFill>
    </x:fill>
    <x:fill>
      <x:patternFill patternType="solid">
        <x:fgColor rgb="FF8ACA85"/>
      </x:patternFill>
    </x:fill>
    <x:fill>
      <x:patternFill patternType="solid">
        <x:fgColor rgb="FFA9D08E"/>
      </x:patternFill>
    </x:fill>
    <x:fill>
      <x:patternFill patternType="solid">
        <x:fgColor rgb="FFD6DF8D"/>
      </x:patternFill>
    </x:fill>
    <x:fill>
      <x:patternFill patternType="solid">
        <x:fgColor rgb="FFFFEB84"/>
      </x:patternFill>
    </x:fill>
    <x:fill>
      <x:patternFill patternType="solid">
        <x:fgColor rgb="FFFFD966"/>
      </x:patternFill>
    </x:fill>
    <x:fill>
      <x:patternFill patternType="solid">
        <x:fgColor rgb="FFFFC000"/>
      </x:patternFill>
    </x:fill>
    <x:fill>
      <x:patternFill patternType="solid">
        <x:fgColor rgb="FFF5A054"/>
      </x:patternFill>
    </x:fill>
    <x:fill>
      <x:patternFill patternType="solid">
        <x:fgColor rgb="FFED7D31"/>
      </x:patternFill>
    </x:fill>
    <x:fill>
      <x:patternFill patternType="solid">
        <x:fgColor rgb="FFEF6A44"/>
      </x:patternFill>
    </x:fill>
    <x:fill>
      <x:patternFill patternType="solid">
        <x:fgColor rgb="FFF8696B"/>
      </x:patternFill>
    </x:fill>
    <x:fill>
      <x:patternFill patternType="solid">
        <x:fgColor theme="0" tint="-0.15"/>
      </x:patternFill>
    </x:fill>
    <x:fill>
      <x:patternFill patternType="solid">
        <x:fgColor theme="3" tint="0.89999"/>
      </x:patternFill>
    </x:fill>
    <x:fill>
      <x:patternFill patternType="solid">
        <x:fgColor rgb="FFD9D9D9"/>
      </x:patternFill>
    </x:fill>
    <x:fill>
      <x:patternFill patternType="solid">
        <x:fgColor theme="3" tint="0.89999"/>
      </x:patternFill>
    </x:fill>
    <x:fill>
      <x:patternFill patternType="solid">
        <x:fgColor theme="3" tint="0.74999"/>
      </x:patternFill>
    </x:fill>
    <x:fill>
      <x:patternFill patternType="solid">
        <x:fgColor rgb="FF111111"/>
      </x:patternFill>
    </x:fill>
    <x:fill>
      <x:patternFill patternType="solid">
        <x:fgColor rgb="FFE9E9E9"/>
      </x:patternFill>
    </x:fill>
  </x:fills>
  <x:borders count="14">
    <x:border/>
    <x:border>
      <x:left style="thin">
        <x:color theme="0"/>
      </x:left>
      <x:right style="thin">
        <x:color theme="0"/>
      </x:right>
      <x:top style="thin">
        <x:color theme="0"/>
      </x:top>
    </x:border>
    <x:border>
      <x:left style="thin">
        <x:color theme="0"/>
      </x:left>
    </x:border>
    <x:border>
      <x:right style="thin">
        <x:color theme="0"/>
      </x:right>
    </x:border>
    <x:border>
      <x:left style="thin">
        <x:color theme="0"/>
      </x:left>
      <x:bottom style="thin">
        <x:color theme="0"/>
      </x:bottom>
    </x:border>
    <x:border>
      <x:bottom style="thin">
        <x:color theme="0"/>
      </x:bottom>
    </x:border>
    <x:border>
      <x:right style="thin">
        <x:color theme="0"/>
      </x:right>
      <x:bottom style="thin">
        <x:color theme="0"/>
      </x:bottom>
    </x:border>
    <x:border>
      <x:bottom style="thin">
        <x:color theme="1"/>
      </x:bottom>
    </x:border>
    <x:border>
      <x:top style="thin">
        <x:color auto="1"/>
      </x:top>
    </x:border>
    <x:border>
      <x:top style="thin">
        <x:color theme="1"/>
      </x:top>
      <x:bottom style="thin">
        <x:color theme="1"/>
      </x:bottom>
    </x:border>
    <x:border>
      <x:left style="medium">
        <x:color theme="1"/>
      </x:left>
      <x:right style="thin">
        <x:color theme="1"/>
      </x:right>
      <x:top style="medium">
        <x:color theme="1"/>
      </x:top>
      <x:bottom style="medium">
        <x:color theme="1"/>
      </x:bottom>
    </x:border>
    <x:border>
      <x:left style="thin">
        <x:color theme="1"/>
      </x:left>
      <x:right style="medium">
        <x:color theme="1"/>
      </x:right>
      <x:top style="medium">
        <x:color theme="1"/>
      </x:top>
      <x:bottom style="medium">
        <x:color theme="1"/>
      </x:bottom>
    </x:border>
    <x:border>
      <x:right style="medium">
        <x:color theme="1"/>
      </x:right>
      <x:top style="medium">
        <x:color theme="1"/>
      </x:top>
      <x:bottom style="medium">
        <x:color theme="1"/>
      </x:bottom>
    </x:border>
    <x:border>
      <x:bottom style="thin">
        <x:color indexed="64"/>
      </x:bottom>
    </x:border>
  </x:borders>
  <x:cellStyleXfs count="5">
    <x:xf numFmtId="0" fontId="0" fillId="0" borderId="0"/>
    <x:xf numFmtId="9" fontId="22" fillId="0" borderId="0"/>
    <x:xf numFmtId="0" fontId="22" fillId="0" borderId="0"/>
    <x:xf numFmtId="9" fontId="2" fillId="0" borderId="0"/>
    <x:xf numFmtId="43" fontId="22" fillId="0" borderId="0" applyFont="0" applyFill="0" applyBorder="0" applyAlignment="0" applyProtection="0"/>
  </x:cellStyleXfs>
  <x:cellXfs count="502">
    <x:xf numFmtId="0" fontId="0" fillId="0" borderId="0" xfId="0"/>
    <x:xf numFmtId="0" fontId="0" fillId="4" borderId="0" xfId="0" applyFill="1" applyAlignment="1">
      <x:alignment horizontal="center"/>
    </x:xf>
    <x:xf numFmtId="0" fontId="0" fillId="2" borderId="0" xfId="0" applyFill="1"/>
    <x:xf numFmtId="0" fontId="0" fillId="2" borderId="2" xfId="0" applyFill="1" applyBorder="1"/>
    <x:xf numFmtId="0" fontId="0" fillId="2" borderId="3" xfId="0" applyFill="1" applyBorder="1"/>
    <x:xf numFmtId="0" fontId="0" fillId="6" borderId="0" xfId="0" applyFill="1"/>
    <x:xf numFmtId="0" fontId="6" fillId="6" borderId="0" xfId="0" applyFont="1" applyFill="1"/>
    <x:xf numFmtId="0" fontId="7" fillId="6" borderId="0" xfId="0" applyFont="1" applyFill="1"/>
    <x:xf numFmtId="0" fontId="0" fillId="2" borderId="4" xfId="0" applyFill="1" applyBorder="1"/>
    <x:xf numFmtId="0" fontId="0" fillId="2" borderId="5" xfId="0" applyFill="1" applyBorder="1"/>
    <x:xf numFmtId="0" fontId="0" fillId="2" borderId="6" xfId="0" applyFill="1" applyBorder="1"/>
    <x:xf numFmtId="0" fontId="0" fillId="4" borderId="0" xfId="0" applyFill="1"/>
    <x:xf numFmtId="0" fontId="9" fillId="4" borderId="0" xfId="0" applyFont="1" applyFill="1"/>
    <x:xf numFmtId="164" fontId="0" fillId="4" borderId="0" xfId="0" applyNumberFormat="1" applyFill="1"/>
    <x:xf numFmtId="2" fontId="0" fillId="4" borderId="0" xfId="0" applyNumberFormat="1" applyFill="1"/>
    <x:xf numFmtId="3" fontId="0" fillId="4" borderId="0" xfId="0" applyNumberFormat="1" applyFill="1"/>
    <x:xf numFmtId="165" fontId="0" fillId="4" borderId="0" xfId="0" applyNumberFormat="1" applyFill="1"/>
    <x:xf numFmtId="10" fontId="0" fillId="4" borderId="0" xfId="0" applyNumberFormat="1" applyFill="1"/>
    <x:xf numFmtId="37" fontId="9" fillId="4" borderId="7" xfId="0" applyNumberFormat="1" applyFont="1" applyFill="1" applyBorder="1" applyAlignment="1">
      <x:alignment horizontal="right"/>
    </x:xf>
    <x:xf numFmtId="0" fontId="11" fillId="4" borderId="0" xfId="0" applyFont="1" applyFill="1"/>
    <x:xf numFmtId="3" fontId="11" fillId="4" borderId="0" xfId="0" applyNumberFormat="1" applyFont="1" applyFill="1"/>
    <x:xf numFmtId="0" fontId="12" fillId="4" borderId="0" xfId="0" applyFont="1" applyFill="1" applyAlignment="1">
      <x:alignment horizontal="left" vertical="center"/>
    </x:xf>
    <x:xf numFmtId="3" fontId="9" fillId="8" borderId="0" xfId="0" applyNumberFormat="1" applyFont="1" applyFill="1" applyAlignment="1">
      <x:alignment horizontal="right"/>
    </x:xf>
    <x:xf numFmtId="3" fontId="12" fillId="8" borderId="0" xfId="0" applyNumberFormat="1" applyFont="1" applyFill="1" applyAlignment="1">
      <x:alignment horizontal="right"/>
    </x:xf>
    <x:xf numFmtId="0" fontId="0" fillId="4" borderId="0" xfId="0" applyFill="1" applyAlignment="1">
      <x:alignment horizontal="left" vertical="center"/>
    </x:xf>
    <x:xf numFmtId="3" fontId="0" fillId="8" borderId="0" xfId="0" applyNumberFormat="1" applyFill="1"/>
    <x:xf numFmtId="3" fontId="11" fillId="8" borderId="0" xfId="0" applyNumberFormat="1" applyFont="1" applyFill="1" applyAlignment="1">
      <x:alignment horizontal="right"/>
    </x:xf>
    <x:xf numFmtId="3" fontId="11" fillId="8" borderId="0" xfId="0" applyNumberFormat="1" applyFont="1" applyFill="1"/>
    <x:xf numFmtId="0" fontId="9" fillId="4" borderId="0" xfId="0" applyFont="1" applyFill="1" applyAlignment="1">
      <x:alignment horizontal="left"/>
    </x:xf>
    <x:xf numFmtId="3" fontId="12" fillId="8" borderId="8" xfId="0" applyNumberFormat="1" applyFont="1" applyFill="1" applyBorder="1"/>
    <x:xf numFmtId="0" fontId="13" fillId="4" borderId="0" xfId="0" applyFont="1" applyFill="1" applyAlignment="1">
      <x:alignment horizontal="left"/>
    </x:xf>
    <x:xf numFmtId="3" fontId="12" fillId="8" borderId="0" xfId="0" applyNumberFormat="1" applyFont="1" applyFill="1"/>
    <x:xf numFmtId="0" fontId="9" fillId="9" borderId="7" xfId="0" applyFont="1" applyFill="1" applyBorder="1" applyAlignment="1">
      <x:alignment horizontal="right"/>
    </x:xf>
    <x:xf numFmtId="0" fontId="0" fillId="8" borderId="0" xfId="0" applyFill="1"/>
    <x:xf numFmtId="0" fontId="11" fillId="4" borderId="0" xfId="0" applyFont="1" applyFill="1" applyAlignment="1">
      <x:alignment horizontal="left" vertical="center"/>
    </x:xf>
    <x:xf numFmtId="0" fontId="12" fillId="4" borderId="0" xfId="0" applyFont="1" applyFill="1" applyAlignment="1">
      <x:alignment horizontal="left"/>
    </x:xf>
    <x:xf numFmtId="0" fontId="12" fillId="4" borderId="0" xfId="0" applyFont="1" applyFill="1"/>
    <x:xf numFmtId="37" fontId="0" fillId="4" borderId="0" xfId="0" applyNumberFormat="1" applyFill="1"/>
    <x:xf numFmtId="37" fontId="0" fillId="0" borderId="0" xfId="0" applyNumberFormat="1"/>
    <x:xf numFmtId="37" fontId="0" fillId="4" borderId="0" xfId="0" applyNumberFormat="1" applyFill="1" applyAlignment="1">
      <x:alignment horizontal="center"/>
    </x:xf>
    <x:xf numFmtId="37" fontId="9" fillId="9" borderId="7" xfId="0" applyNumberFormat="1" applyFont="1" applyFill="1" applyBorder="1" applyAlignment="1">
      <x:alignment horizontal="right"/>
    </x:xf>
    <x:xf numFmtId="37" fontId="11" fillId="4" borderId="0" xfId="0" applyNumberFormat="1" applyFont="1" applyFill="1" applyAlignment="1">
      <x:alignment horizontal="left" vertical="center"/>
    </x:xf>
    <x:xf numFmtId="37" fontId="11" fillId="8" borderId="0" xfId="0" applyNumberFormat="1" applyFont="1" applyFill="1"/>
    <x:xf numFmtId="37" fontId="0" fillId="4" borderId="0" xfId="0" applyNumberFormat="1" applyFill="1" applyAlignment="1">
      <x:alignment horizontal="left" vertical="center"/>
    </x:xf>
    <x:xf numFmtId="37" fontId="0" fillId="8" borderId="0" xfId="0" applyNumberFormat="1" applyFill="1"/>
    <x:xf numFmtId="37" fontId="12" fillId="4" borderId="0" xfId="0" applyNumberFormat="1" applyFont="1" applyFill="1"/>
    <x:xf numFmtId="37" fontId="9" fillId="4" borderId="0" xfId="0" applyNumberFormat="1" applyFont="1" applyFill="1" applyAlignment="1">
      <x:alignment horizontal="left"/>
    </x:xf>
    <x:xf numFmtId="37" fontId="11" fillId="4" borderId="0" xfId="0" applyNumberFormat="1" applyFont="1" applyFill="1"/>
    <x:xf numFmtId="37" fontId="9" fillId="4" borderId="0" xfId="0" applyNumberFormat="1" applyFont="1" applyFill="1"/>
    <x:xf numFmtId="37" fontId="12" fillId="8" borderId="8" xfId="0" applyNumberFormat="1" applyFont="1" applyFill="1" applyBorder="1"/>
    <x:xf numFmtId="0" fontId="12" fillId="9" borderId="0" xfId="0" applyFont="1" applyFill="1" applyAlignment="1">
      <x:alignment horizontal="right"/>
    </x:xf>
    <x:xf numFmtId="3" fontId="0" fillId="8" borderId="0" xfId="0" applyNumberFormat="1" applyFill="1" applyAlignment="1">
      <x:alignment horizontal="right"/>
    </x:xf>
    <x:xf numFmtId="0" fontId="0" fillId="4" borderId="0" xfId="0" applyFill="1" applyAlignment="1">
      <x:alignment vertical="center"/>
    </x:xf>
    <x:xf numFmtId="165" fontId="11" fillId="8" borderId="0" xfId="0" applyNumberFormat="1" applyFont="1" applyFill="1"/>
    <x:xf numFmtId="165" fontId="12" fillId="8" borderId="0" xfId="0" applyNumberFormat="1" applyFont="1" applyFill="1"/>
    <x:xf numFmtId="0" fontId="14" fillId="4" borderId="0" xfId="0" applyFont="1" applyFill="1" applyAlignment="1">
      <x:alignment horizontal="left" vertical="center"/>
    </x:xf>
    <x:xf numFmtId="3" fontId="14" fillId="4" borderId="0" xfId="0" applyNumberFormat="1" applyFont="1" applyFill="1"/>
    <x:xf numFmtId="0" fontId="14" fillId="4" borderId="0" xfId="0" applyFont="1" applyFill="1"/>
    <x:xf numFmtId="37" fontId="12" fillId="4" borderId="0" xfId="0" applyNumberFormat="1" applyFont="1" applyFill="1" applyAlignment="1">
      <x:alignment horizontal="left" vertical="center"/>
    </x:xf>
    <x:xf numFmtId="37" fontId="9" fillId="8" borderId="0" xfId="0" applyNumberFormat="1" applyFont="1" applyFill="1" applyAlignment="1">
      <x:alignment horizontal="right"/>
    </x:xf>
    <x:xf numFmtId="37" fontId="11" fillId="8" borderId="9" xfId="0" applyNumberFormat="1" applyFont="1" applyFill="1" applyBorder="1"/>
    <x:xf numFmtId="37" fontId="12" fillId="8" borderId="0" xfId="0" applyNumberFormat="1" applyFont="1" applyFill="1"/>
    <x:xf numFmtId="37" fontId="9" fillId="8" borderId="0" xfId="0" applyNumberFormat="1" applyFont="1" applyFill="1"/>
    <x:xf numFmtId="37" fontId="0" fillId="8" borderId="7" xfId="0" applyNumberFormat="1" applyFill="1" applyBorder="1"/>
    <x:xf numFmtId="37" fontId="2" fillId="4" borderId="0" xfId="0" applyNumberFormat="1" applyFont="1" applyFill="1"/>
    <x:xf numFmtId="37" fontId="13" fillId="8" borderId="0" xfId="0" applyNumberFormat="1" applyFont="1" applyFill="1"/>
    <x:xf numFmtId="0" fontId="12" fillId="9" borderId="7" xfId="0" applyFont="1" applyFill="1" applyBorder="1" applyAlignment="1">
      <x:alignment horizontal="right"/>
    </x:xf>
    <x:xf numFmtId="0" fontId="11" fillId="4" borderId="0" xfId="0" applyFont="1" applyFill="1" applyAlignment="1">
      <x:alignment vertical="center"/>
    </x:xf>
    <x:xf numFmtId="166" fontId="11" fillId="8" borderId="0" xfId="0" applyNumberFormat="1" applyFont="1" applyFill="1"/>
    <x:xf numFmtId="166" fontId="12" fillId="8" borderId="0" xfId="0" applyNumberFormat="1" applyFont="1" applyFill="1"/>
    <x:xf numFmtId="3" fontId="12" fillId="4" borderId="0" xfId="0" applyNumberFormat="1" applyFont="1" applyFill="1"/>
    <x:xf numFmtId="0" fontId="9" fillId="4" borderId="7" xfId="0" applyFont="1" applyFill="1" applyBorder="1"/>
    <x:xf numFmtId="0" fontId="0" fillId="4" borderId="7" xfId="0" applyFill="1" applyBorder="1"/>
    <x:xf numFmtId="0" fontId="9" fillId="10" borderId="7" xfId="0" applyFont="1" applyFill="1" applyBorder="1" applyAlignment="1">
      <x:alignment horizontal="right"/>
    </x:xf>
    <x:xf numFmtId="0" fontId="0" fillId="11" borderId="0" xfId="0" applyFill="1"/>
    <x:xf numFmtId="10" fontId="11" fillId="8" borderId="0" xfId="0" applyNumberFormat="1" applyFont="1" applyFill="1"/>
    <x:xf numFmtId="165" fontId="16" fillId="11" borderId="0" xfId="0" applyNumberFormat="1" applyFont="1" applyFill="1"/>
    <x:xf numFmtId="165" fontId="16" fillId="11" borderId="0" xfId="0" applyNumberFormat="1" applyFont="1" applyFill="1" applyAlignment="1">
      <x:alignment vertical="top" wrapText="1"/>
    </x:xf>
    <x:xf numFmtId="10" fontId="16" fillId="11" borderId="0" xfId="0" applyNumberFormat="1" applyFont="1" applyFill="1"/>
    <x:xf numFmtId="10" fontId="16" fillId="11" borderId="0" xfId="0" applyNumberFormat="1" applyFont="1" applyFill="1" applyAlignment="1">
      <x:alignment vertical="top" wrapText="1"/>
    </x:xf>
    <x:xf numFmtId="3" fontId="12" fillId="11" borderId="0" xfId="0" applyNumberFormat="1" applyFont="1" applyFill="1"/>
    <x:xf numFmtId="3" fontId="16" fillId="11" borderId="0" xfId="0" applyNumberFormat="1" applyFont="1" applyFill="1"/>
    <x:xf numFmtId="3" fontId="16" fillId="11" borderId="0" xfId="0" applyNumberFormat="1" applyFont="1" applyFill="1" applyAlignment="1">
      <x:alignment vertical="top" wrapText="1"/>
    </x:xf>
    <x:xf numFmtId="10" fontId="11" fillId="4" borderId="0" xfId="0" applyNumberFormat="1" applyFont="1" applyFill="1"/>
    <x:xf numFmtId="165" fontId="11" fillId="4" borderId="0" xfId="0" applyNumberFormat="1" applyFont="1" applyFill="1"/>
    <x:xf numFmtId="165" fontId="0" fillId="11" borderId="0" xfId="0" applyNumberFormat="1" applyFill="1"/>
    <x:xf numFmtId="3" fontId="11" fillId="11" borderId="0" xfId="0" applyNumberFormat="1" applyFont="1" applyFill="1"/>
    <x:xf numFmtId="37" fontId="9" fillId="4" borderId="0" xfId="0" applyNumberFormat="1" applyFont="1" applyFill="1" applyAlignment="1">
      <x:alignment horizontal="center"/>
    </x:xf>
    <x:xf numFmtId="37" fontId="9" fillId="10" borderId="7" xfId="0" applyNumberFormat="1" applyFont="1" applyFill="1" applyBorder="1" applyAlignment="1">
      <x:alignment horizontal="right"/>
    </x:xf>
    <x:xf numFmtId="37" fontId="9" fillId="4" borderId="0" xfId="0" applyNumberFormat="1" applyFont="1" applyFill="1" applyAlignment="1">
      <x:alignment horizontal="right"/>
    </x:xf>
    <x:xf numFmtId="37" fontId="0" fillId="11" borderId="0" xfId="0" applyNumberFormat="1" applyFill="1"/>
    <x:xf numFmtId="37" fontId="0" fillId="8" borderId="0" xfId="0" applyNumberFormat="1" applyFill="1" applyAlignment="1">
      <x:alignment horizontal="right"/>
    </x:xf>
    <x:xf numFmtId="39" fontId="0" fillId="8" borderId="0" xfId="0" applyNumberFormat="1" applyFill="1"/>
    <x:xf numFmtId="10" fontId="0" fillId="8" borderId="0" xfId="0" applyNumberFormat="1" applyFill="1"/>
    <x:xf numFmtId="0" fontId="9" fillId="4" borderId="0" xfId="0" applyFont="1" applyFill="1" applyAlignment="1">
      <x:alignment horizontal="center"/>
    </x:xf>
    <x:xf numFmtId="0" fontId="12" fillId="10" borderId="7" xfId="0" applyFont="1" applyFill="1" applyBorder="1" applyAlignment="1">
      <x:alignment horizontal="right"/>
    </x:xf>
    <x:xf numFmtId="0" fontId="9" fillId="4" borderId="0" xfId="0" applyFont="1" applyFill="1" applyAlignment="1">
      <x:alignment horizontal="right"/>
    </x:xf>
    <x:xf numFmtId="0" fontId="11" fillId="11" borderId="0" xfId="0" applyFont="1" applyFill="1"/>
    <x:xf numFmtId="2" fontId="12" fillId="11" borderId="0" xfId="0" applyNumberFormat="1" applyFont="1" applyFill="1"/>
    <x:xf numFmtId="165" fontId="11" fillId="11" borderId="0" xfId="0" applyNumberFormat="1" applyFont="1" applyFill="1"/>
    <x:xf numFmtId="167" fontId="0" fillId="4" borderId="0" xfId="0" applyNumberFormat="1" applyFill="1"/>
    <x:xf numFmtId="0" fontId="17" fillId="9" borderId="0" xfId="0" applyFont="1" applyFill="1"/>
    <x:xf numFmtId="0" fontId="0" fillId="8" borderId="0" xfId="0" applyFill="1" applyAlignment="1">
      <x:alignment vertical="center"/>
    </x:xf>
    <x:xf numFmtId="168" fontId="0" fillId="8" borderId="0" xfId="0" applyNumberFormat="1" applyFill="1"/>
    <x:xf numFmtId="0" fontId="11" fillId="0" borderId="0" xfId="0" applyFont="1" applyAlignment="1">
      <x:alignment vertical="center"/>
    </x:xf>
    <x:xf numFmtId="0" fontId="13" fillId="8" borderId="0" xfId="0" applyFont="1" applyFill="1" applyAlignment="1">
      <x:alignment horizontal="left" vertical="center"/>
    </x:xf>
    <x:xf numFmtId="4" fontId="0" fillId="8" borderId="0" xfId="0" applyNumberFormat="1" applyFill="1"/>
    <x:xf numFmtId="0" fontId="11" fillId="0" borderId="0" xfId="0" applyFont="1" applyAlignment="1">
      <x:alignment horizontal="left" vertical="center"/>
    </x:xf>
    <x:xf numFmtId="169" fontId="0" fillId="4" borderId="0" xfId="0" applyNumberFormat="1" applyFill="1"/>
    <x:xf numFmtId="3" fontId="0" fillId="4" borderId="0" xfId="0" applyNumberFormat="1" applyFill="1" applyAlignment="1">
      <x:alignment horizontal="right"/>
    </x:xf>
    <x:xf numFmtId="0" fontId="12" fillId="0" borderId="0" xfId="0" applyFont="1"/>
    <x:xf numFmtId="0" fontId="11" fillId="0" borderId="0" xfId="0" applyFont="1"/>
    <x:xf numFmtId="10" fontId="18" fillId="8" borderId="0" xfId="0" applyNumberFormat="1" applyFont="1" applyFill="1"/>
    <x:xf numFmtId="0" fontId="18" fillId="8" borderId="0" xfId="0" applyFont="1" applyFill="1"/>
    <x:xf numFmtId="0" fontId="9" fillId="0" borderId="0" xfId="0" applyFont="1"/>
    <x:xf numFmtId="10" fontId="18" fillId="0" borderId="0" xfId="0" applyNumberFormat="1" applyFont="1"/>
    <x:xf numFmtId="0" fontId="18" fillId="0" borderId="0" xfId="0" applyFont="1"/>
    <x:xf numFmtId="0" fontId="0" fillId="9" borderId="0" xfId="0" applyFill="1"/>
    <x:xf numFmtId="0" fontId="0" fillId="4" borderId="0" xfId="0" applyFill="1" applyAlignment="1">
      <x:alignment vertical="center" wrapText="1"/>
    </x:xf>
    <x:xf numFmtId="170" fontId="0" fillId="4" borderId="0" xfId="0" applyNumberFormat="1" applyFill="1"/>
    <x:xf numFmtId="165" fontId="22" fillId="8" borderId="0" xfId="1" applyNumberFormat="1" applyFill="1"/>
    <x:xf numFmtId="2" fontId="0" fillId="8" borderId="0" xfId="0" applyNumberFormat="1" applyFill="1"/>
    <x:xf numFmtId="10" fontId="0" fillId="0" borderId="0" xfId="0" applyNumberFormat="1"/>
    <x:xf numFmtId="0" fontId="17" fillId="0" borderId="0" xfId="0" applyFont="1"/>
    <x:xf numFmtId="170" fontId="0" fillId="8" borderId="0" xfId="0" applyNumberFormat="1" applyFill="1"/>
    <x:xf numFmtId="171" fontId="0" fillId="8" borderId="0" xfId="0" applyNumberFormat="1" applyFill="1"/>
    <x:xf numFmtId="0" fontId="12" fillId="4" borderId="0" xfId="0" applyFont="1" applyFill="1" applyAlignment="1">
      <x:alignment horizontal="right"/>
    </x:xf>
    <x:xf numFmtId="10" fontId="12" fillId="9" borderId="7" xfId="0" applyNumberFormat="1" applyFont="1" applyFill="1" applyBorder="1" applyAlignment="1">
      <x:alignment horizontal="right"/>
    </x:xf>
    <x:xf numFmtId="0" fontId="9" fillId="9" borderId="0" xfId="0" applyFont="1" applyFill="1" applyAlignment="1">
      <x:alignment horizontal="right"/>
    </x:xf>
    <x:xf numFmtId="0" fontId="9" fillId="4" borderId="0" xfId="0" applyFont="1" applyFill="1" applyAlignment="1">
      <x:alignment vertical="center"/>
    </x:xf>
    <x:xf numFmtId="171" fontId="9" fillId="8" borderId="0" xfId="0" applyNumberFormat="1" applyFont="1" applyFill="1"/>
    <x:xf numFmtId="164" fontId="0" fillId="8" borderId="0" xfId="0" applyNumberFormat="1" applyFill="1"/>
    <x:xf numFmtId="165" fontId="9" fillId="8" borderId="0" xfId="0" applyNumberFormat="1" applyFont="1" applyFill="1" applyAlignment="1">
      <x:alignment vertical="center"/>
    </x:xf>
    <x:xf numFmtId="168" fontId="0" fillId="8" borderId="0" xfId="0" applyNumberFormat="1" applyFill="1" applyAlignment="1">
      <x:alignment vertical="center"/>
    </x:xf>
    <x:xf numFmtId="0" fontId="0" fillId="11" borderId="0" xfId="0" applyFill="1" applyAlignment="1">
      <x:alignment horizontal="right"/>
    </x:xf>
    <x:xf numFmtId="171" fontId="0" fillId="11" borderId="0" xfId="0" applyNumberFormat="1" applyFill="1" applyAlignment="1">
      <x:alignment horizontal="right"/>
    </x:xf>
    <x:xf numFmtId="168" fontId="0" fillId="11" borderId="0" xfId="0" applyNumberFormat="1" applyFill="1" applyAlignment="1">
      <x:alignment horizontal="right"/>
    </x:xf>
    <x:xf numFmtId="171" fontId="0" fillId="11" borderId="7" xfId="0" applyNumberFormat="1" applyFill="1" applyBorder="1" applyAlignment="1">
      <x:alignment horizontal="right"/>
    </x:xf>
    <x:xf numFmtId="171" fontId="9" fillId="11" borderId="0" xfId="0" applyNumberFormat="1" applyFont="1" applyFill="1" applyAlignment="1">
      <x:alignment horizontal="right"/>
    </x:xf>
    <x:xf numFmtId="171" fontId="0" fillId="4" borderId="0" xfId="0" applyNumberFormat="1" applyFill="1"/>
    <x:xf numFmtId="0" fontId="0" fillId="4" borderId="0" xfId="0" applyFill="1" applyAlignment="1">
      <x:alignment horizontal="right"/>
    </x:xf>
    <x:xf numFmtId="173" fontId="11" fillId="8" borderId="0" xfId="0" applyNumberFormat="1" applyFont="1" applyFill="1"/>
    <x:xf numFmtId="173" fontId="11" fillId="4" borderId="0" xfId="0" applyNumberFormat="1" applyFont="1" applyFill="1"/>
    <x:xf numFmtId="171" fontId="9" fillId="4" borderId="0" xfId="0" applyNumberFormat="1" applyFont="1" applyFill="1"/>
    <x:xf numFmtId="0" fontId="12" fillId="0" borderId="0" xfId="0" applyFont="1" applyAlignment="1">
      <x:alignment vertical="center"/>
    </x:xf>
    <x:xf numFmtId="0" fontId="15" fillId="4" borderId="0" xfId="0" applyFont="1" applyFill="1"/>
    <x:xf numFmtId="0" fontId="0" fillId="12" borderId="0" xfId="0" applyFill="1"/>
    <x:xf numFmtId="0" fontId="11" fillId="13" borderId="0" xfId="0" applyFont="1" applyFill="1"/>
    <x:xf numFmtId="0" fontId="11" fillId="13" borderId="0" xfId="0" applyFont="1" applyFill="1" applyAlignment="1">
      <x:alignment vertical="center"/>
    </x:xf>
    <x:xf numFmtId="0" fontId="11" fillId="13" borderId="0" xfId="0" applyFont="1" applyFill="1" applyAlignment="1">
      <x:alignment horizontal="left" vertical="center"/>
    </x:xf>
    <x:xf numFmtId="0" fontId="25" fillId="0" borderId="0" xfId="0" applyFont="1"/>
    <x:xf numFmtId="0" fontId="25" fillId="2" borderId="0" xfId="0" applyFont="1" applyFill="1" applyAlignment="1">
      <x:alignment horizontal="center"/>
    </x:xf>
    <x:xf numFmtId="0" fontId="25" fillId="4" borderId="0" xfId="0" applyFont="1" applyFill="1"/>
    <x:xf numFmtId="37" fontId="26" fillId="9" borderId="7" xfId="0" applyNumberFormat="1" applyFont="1" applyFill="1" applyBorder="1" applyAlignment="1">
      <x:alignment horizontal="right"/>
    </x:xf>
    <x:xf numFmtId="0" fontId="26" fillId="10" borderId="7" xfId="0" applyFont="1" applyFill="1" applyBorder="1" applyAlignment="1">
      <x:alignment horizontal="right"/>
    </x:xf>
    <x:xf numFmtId="3" fontId="26" fillId="8" borderId="0" xfId="0" applyNumberFormat="1" applyFont="1" applyFill="1" applyAlignment="1">
      <x:alignment horizontal="right"/>
    </x:xf>
    <x:xf numFmtId="3" fontId="27" fillId="8" borderId="0" xfId="0" applyNumberFormat="1" applyFont="1" applyFill="1" applyAlignment="1">
      <x:alignment horizontal="right"/>
    </x:xf>
    <x:xf numFmtId="0" fontId="25" fillId="11" borderId="0" xfId="0" applyFont="1" applyFill="1"/>
    <x:xf numFmtId="0" fontId="28" fillId="4" borderId="0" xfId="0" applyFont="1" applyFill="1" applyAlignment="1">
      <x:alignment horizontal="left" vertical="center"/>
    </x:xf>
    <x:xf numFmtId="3" fontId="28" fillId="8" borderId="0" xfId="0" applyNumberFormat="1" applyFont="1" applyFill="1"/>
    <x:xf numFmtId="3" fontId="28" fillId="11" borderId="0" xfId="0" applyNumberFormat="1" applyFont="1" applyFill="1"/>
    <x:xf numFmtId="0" fontId="27" fillId="4" borderId="0" xfId="0" applyFont="1" applyFill="1"/>
    <x:xf numFmtId="3" fontId="27" fillId="8" borderId="0" xfId="0" applyNumberFormat="1" applyFont="1" applyFill="1"/>
    <x:xf numFmtId="3" fontId="27" fillId="11" borderId="0" xfId="0" applyNumberFormat="1" applyFont="1" applyFill="1"/>
    <x:xf numFmtId="0" fontId="27" fillId="4" borderId="0" xfId="0" applyFont="1" applyFill="1" applyAlignment="1">
      <x:alignment horizontal="left"/>
    </x:xf>
    <x:xf numFmtId="0" fontId="28" fillId="4" borderId="0" xfId="0" applyFont="1" applyFill="1"/>
    <x:xf numFmtId="0" fontId="25" fillId="8" borderId="0" xfId="0" applyFont="1" applyFill="1"/>
    <x:xf numFmtId="3" fontId="25" fillId="11" borderId="0" xfId="0" applyNumberFormat="1" applyFont="1" applyFill="1"/>
    <x:xf numFmtId="3" fontId="28" fillId="4" borderId="0" xfId="0" applyNumberFormat="1" applyFont="1" applyFill="1"/>
    <x:xf numFmtId="3" fontId="25" fillId="4" borderId="0" xfId="0" applyNumberFormat="1" applyFont="1" applyFill="1"/>
    <x:xf numFmtId="10" fontId="25" fillId="4" borderId="0" xfId="0" applyNumberFormat="1" applyFont="1" applyFill="1"/>
    <x:xf numFmtId="165" fontId="28" fillId="4" borderId="0" xfId="0" applyNumberFormat="1" applyFont="1" applyFill="1"/>
    <x:xf numFmtId="37" fontId="0" fillId="14" borderId="0" xfId="0" applyNumberFormat="1" applyFill="1"/>
    <x:xf numFmtId="10" fontId="0" fillId="14" borderId="0" xfId="0" applyNumberFormat="1" applyFill="1"/>
    <x:xf numFmtId="37" fontId="0" fillId="15" borderId="0" xfId="0" applyNumberFormat="1" applyFill="1"/>
    <x:xf numFmtId="0" fontId="28" fillId="15" borderId="0" xfId="0" applyFont="1" applyFill="1"/>
    <x:xf numFmtId="0" fontId="25" fillId="16" borderId="0" xfId="0" applyFont="1" applyFill="1" applyAlignment="1">
      <x:alignment horizontal="center"/>
    </x:xf>
    <x:xf numFmtId="0" fontId="0" fillId="18" borderId="0" xfId="0" applyFill="1"/>
    <x:xf numFmtId="10" fontId="22" fillId="0" borderId="0" xfId="1" applyNumberFormat="1"/>
    <x:xf numFmtId="174" fontId="0" fillId="8" borderId="0" xfId="0" applyNumberFormat="1" applyFill="1"/>
    <x:xf numFmtId="0" fontId="0" fillId="19" borderId="0" xfId="0" applyFill="1"/>
    <x:xf numFmtId="10" fontId="12" fillId="20" borderId="0" xfId="0" applyNumberFormat="1" applyFont="1" applyFill="1"/>
    <x:xf numFmtId="10" fontId="13" fillId="20" borderId="0" xfId="0" applyNumberFormat="1" applyFont="1" applyFill="1"/>
    <x:xf numFmtId="172" fontId="9" fillId="8" borderId="0" xfId="0" applyNumberFormat="1" applyFont="1" applyFill="1"/>
    <x:xf numFmtId="0" fontId="11" fillId="0" borderId="0" xfId="0" applyFont="1" applyAlignment="1">
      <x:alignment vertical="top"/>
    </x:xf>
    <x:xf numFmtId="0" fontId="0" fillId="4" borderId="0" xfId="0" applyFill="1"/>
    <x:xf numFmtId="0" fontId="31" fillId="21" borderId="0" xfId="0" applyFont="1" applyFill="1" applyAlignment="1">
      <x:alignment horizontal="right"/>
    </x:xf>
    <x:xf numFmtId="14" fontId="15" fillId="0" borderId="0" xfId="0" applyNumberFormat="1" applyFont="1" applyAlignment="1">
      <x:alignment horizontal="right"/>
    </x:xf>
    <x:xf numFmtId="4" fontId="15" fillId="0" borderId="0" xfId="0" applyNumberFormat="1" applyFont="1" applyAlignment="1">
      <x:alignment horizontal="right"/>
    </x:xf>
    <x:xf numFmtId="0" fontId="13" fillId="4" borderId="0" xfId="0" applyFont="1" applyFill="1" applyAlignment="1">
      <x:alignment horizontal="right"/>
    </x:xf>
    <x:xf numFmtId="10" fontId="13" fillId="0" borderId="0" xfId="0" applyNumberFormat="1" applyFont="1" applyAlignment="1">
      <x:alignment horizontal="right"/>
    </x:xf>
    <x:xf numFmtId="0" fontId="9" fillId="16" borderId="0" xfId="0" applyFont="1" applyFill="1"/>
    <x:xf numFmtId="170" fontId="0" fillId="22" borderId="0" xfId="0" applyNumberFormat="1" applyFill="1"/>
    <x:xf numFmtId="0" fontId="12" fillId="25" borderId="0" xfId="0" applyFont="1" applyFill="1" applyAlignment="1">
      <x:alignment horizontal="center" vertical="center"/>
    </x:xf>
    <x:xf numFmtId="0" fontId="12" fillId="25" borderId="0" xfId="0" applyFont="1" applyFill="1" applyAlignment="1">
      <x:alignment horizontal="center"/>
    </x:xf>
    <x:xf numFmtId="0" fontId="11" fillId="26" borderId="0" xfId="0" applyFont="1" applyFill="1" applyAlignment="1">
      <x:alignment horizontal="left" vertical="center"/>
    </x:xf>
    <x:xf numFmtId="168" fontId="12" fillId="26" borderId="0" xfId="0" applyNumberFormat="1" applyFont="1" applyFill="1" applyAlignment="1">
      <x:alignment horizontal="right" vertical="center"/>
    </x:xf>
    <x:xf numFmtId="174" fontId="12" fillId="26" borderId="0" xfId="0" applyNumberFormat="1" applyFont="1" applyFill="1" applyAlignment="1">
      <x:alignment horizontal="right" vertical="center"/>
    </x:xf>
    <x:xf numFmtId="0" fontId="11" fillId="26" borderId="0" xfId="0" applyFont="1" applyFill="1" applyAlignment="1">
      <x:alignment vertical="center"/>
    </x:xf>
    <x:xf numFmtId="174" fontId="11" fillId="26" borderId="0" xfId="0" applyNumberFormat="1" applyFont="1" applyFill="1" applyAlignment="1">
      <x:alignment horizontal="right"/>
    </x:xf>
    <x:xf numFmtId="0" fontId="11" fillId="26" borderId="0" xfId="0" applyFont="1" applyFill="1"/>
    <x:xf numFmtId="168" fontId="11" fillId="26" borderId="0" xfId="0" applyNumberFormat="1" applyFont="1" applyFill="1" applyAlignment="1">
      <x:alignment horizontal="right"/>
    </x:xf>
    <x:xf numFmtId="1" fontId="11" fillId="26" borderId="0" xfId="0" applyNumberFormat="1" applyFont="1" applyFill="1" applyAlignment="1">
      <x:alignment horizontal="right"/>
    </x:xf>
    <x:xf numFmtId="1" fontId="12" fillId="26" borderId="0" xfId="0" applyNumberFormat="1" applyFont="1" applyFill="1" applyAlignment="1">
      <x:alignment horizontal="right" vertical="center"/>
    </x:xf>
    <x:xf numFmtId="0" fontId="12" fillId="13" borderId="0" xfId="0" applyFont="1" applyFill="1" applyAlignment="1">
      <x:alignment horizontal="center" vertical="center"/>
    </x:xf>
    <x:xf numFmtId="0" fontId="12" fillId="13" borderId="0" xfId="0" applyFont="1" applyFill="1" applyAlignment="1">
      <x:alignment horizontal="center"/>
    </x:xf>
    <x:xf numFmtId="168" fontId="12" fillId="13" borderId="0" xfId="0" applyNumberFormat="1" applyFont="1" applyFill="1" applyAlignment="1">
      <x:alignment horizontal="right" vertical="center"/>
    </x:xf>
    <x:xf numFmtId="174" fontId="12" fillId="13" borderId="0" xfId="0" applyNumberFormat="1" applyFont="1" applyFill="1" applyAlignment="1">
      <x:alignment horizontal="right" vertical="center"/>
    </x:xf>
    <x:xf numFmtId="174" fontId="11" fillId="13" borderId="0" xfId="0" applyNumberFormat="1" applyFont="1" applyFill="1" applyAlignment="1">
      <x:alignment horizontal="right"/>
    </x:xf>
    <x:xf numFmtId="168" fontId="11" fillId="13" borderId="0" xfId="0" applyNumberFormat="1" applyFont="1" applyFill="1" applyAlignment="1">
      <x:alignment horizontal="right"/>
    </x:xf>
    <x:xf numFmtId="1" fontId="11" fillId="13" borderId="0" xfId="0" applyNumberFormat="1" applyFont="1" applyFill="1" applyAlignment="1">
      <x:alignment horizontal="right"/>
    </x:xf>
    <x:xf numFmtId="1" fontId="12" fillId="13" borderId="0" xfId="0" applyNumberFormat="1" applyFont="1" applyFill="1" applyAlignment="1">
      <x:alignment horizontal="right" vertical="center"/>
    </x:xf>
    <x:xf numFmtId="174" fontId="11" fillId="26" borderId="0" xfId="0" applyNumberFormat="1" applyFont="1" applyFill="1" applyAlignment="1">
      <x:alignment horizontal="right" vertical="center"/>
    </x:xf>
    <x:xf numFmtId="2" fontId="22" fillId="26" borderId="0" xfId="1" applyNumberFormat="1" applyFill="1"/>
    <x:xf numFmtId="0" fontId="17" fillId="16" borderId="0" xfId="0" applyFont="1" applyFill="1"/>
    <x:xf numFmtId="0" fontId="0" fillId="22" borderId="0" xfId="0" applyFill="1" applyAlignment="1">
      <x:alignment vertical="center"/>
    </x:xf>
    <x:xf numFmtId="0" fontId="0" fillId="22" borderId="0" xfId="0" applyFill="1"/>
    <x:xf numFmtId="10" fontId="0" fillId="22" borderId="0" xfId="0" applyNumberFormat="1" applyFill="1"/>
    <x:xf numFmtId="168" fontId="0" fillId="22" borderId="0" xfId="0" applyNumberFormat="1" applyFill="1"/>
    <x:xf numFmtId="0" fontId="13" fillId="22" borderId="0" xfId="0" applyFont="1" applyFill="1" applyAlignment="1">
      <x:alignment horizontal="left" vertical="center"/>
    </x:xf>
    <x:xf numFmtId="37" fontId="11" fillId="22" borderId="0" xfId="0" applyNumberFormat="1" applyFont="1" applyFill="1"/>
    <x:xf numFmtId="174" fontId="0" fillId="22" borderId="0" xfId="0" applyNumberFormat="1" applyFill="1"/>
    <x:xf numFmtId="10" fontId="18" fillId="22" borderId="0" xfId="0" applyNumberFormat="1" applyFont="1" applyFill="1"/>
    <x:xf numFmtId="0" fontId="18" fillId="22" borderId="0" xfId="0" applyFont="1" applyFill="1"/>
    <x:xf numFmtId="10" fontId="18" fillId="13" borderId="0" xfId="0" applyNumberFormat="1" applyFont="1" applyFill="1"/>
    <x:xf numFmtId="0" fontId="18" fillId="13" borderId="0" xfId="0" applyFont="1" applyFill="1"/>
    <x:xf numFmtId="0" fontId="0" fillId="16" borderId="0" xfId="0" applyFill="1"/>
    <x:xf numFmtId="165" fontId="22" fillId="22" borderId="0" xfId="1" applyNumberFormat="1" applyFill="1"/>
    <x:xf numFmtId="10" fontId="0" fillId="13" borderId="0" xfId="0" applyNumberFormat="1" applyFill="1"/>
    <x:xf numFmtId="10" fontId="11" fillId="22" borderId="0" xfId="0" applyNumberFormat="1" applyFont="1" applyFill="1"/>
    <x:xf numFmtId="10" fontId="12" fillId="16" borderId="0" xfId="0" applyNumberFormat="1" applyFont="1" applyFill="1" applyAlignment="1">
      <x:alignment horizontal="right"/>
    </x:xf>
    <x:xf numFmtId="0" fontId="9" fillId="18" borderId="0" xfId="0" applyFont="1" applyFill="1" applyAlignment="1">
      <x:alignment vertical="center"/>
    </x:xf>
    <x:xf numFmtId="4" fontId="9" fillId="18" borderId="0" xfId="0" applyNumberFormat="1" applyFont="1" applyFill="1" applyAlignment="1">
      <x:alignment horizontal="right" vertical="center"/>
    </x:xf>
    <x:xf numFmtId="171" fontId="9" fillId="18" borderId="0" xfId="0" applyNumberFormat="1" applyFont="1" applyFill="1" applyAlignment="1">
      <x:alignment horizontal="right"/>
    </x:xf>
    <x:xf numFmtId="173" fontId="9" fillId="18" borderId="0" xfId="0" applyNumberFormat="1" applyFont="1" applyFill="1" applyAlignment="1">
      <x:alignment horizontal="right"/>
    </x:xf>
    <x:xf numFmtId="0" fontId="13" fillId="18" borderId="0" xfId="0" applyFont="1" applyFill="1" applyAlignment="1">
      <x:alignment horizontal="left" vertical="center"/>
    </x:xf>
    <x:xf numFmtId="4" fontId="13" fillId="18" borderId="0" xfId="0" applyNumberFormat="1" applyFont="1" applyFill="1" applyAlignment="1">
      <x:alignment horizontal="right" vertical="center"/>
    </x:xf>
    <x:xf numFmtId="171" fontId="13" fillId="18" borderId="0" xfId="0" applyNumberFormat="1" applyFont="1" applyFill="1" applyAlignment="1">
      <x:alignment horizontal="right"/>
    </x:xf>
    <x:xf numFmtId="173" fontId="13" fillId="18" borderId="0" xfId="0" applyNumberFormat="1" applyFont="1" applyFill="1" applyAlignment="1">
      <x:alignment horizontal="right"/>
    </x:xf>
    <x:xf numFmtId="0" fontId="9" fillId="17" borderId="7" xfId="0" applyFont="1" applyFill="1" applyBorder="1" applyAlignment="1">
      <x:alignment vertical="center"/>
    </x:xf>
    <x:xf numFmtId="0" fontId="9" fillId="17" borderId="7" xfId="0" applyFont="1" applyFill="1" applyBorder="1" applyAlignment="1">
      <x:alignment horizontal="right" vertical="center"/>
    </x:xf>
    <x:xf numFmtId="0" fontId="9" fillId="17" borderId="7" xfId="0" applyFont="1" applyFill="1" applyBorder="1" applyAlignment="1">
      <x:alignment horizontal="center" vertical="center"/>
    </x:xf>
    <x:xf numFmtId="0" fontId="13" fillId="18" borderId="0" xfId="0" applyFont="1" applyFill="1" applyAlignment="1">
      <x:alignment horizontal="center"/>
    </x:xf>
    <x:xf numFmtId="0" fontId="9" fillId="18" borderId="0" xfId="0" applyFont="1" applyFill="1" applyAlignment="1">
      <x:alignment horizontal="center" vertical="center"/>
    </x:xf>
    <x:xf numFmtId="0" fontId="11" fillId="25" borderId="0" xfId="0" applyFont="1" applyFill="1"/>
    <x:xf numFmtId="0" fontId="12" fillId="18" borderId="0" xfId="0" applyFont="1" applyFill="1"/>
    <x:xf numFmtId="173" fontId="12" fillId="18" borderId="0" xfId="0" applyNumberFormat="1" applyFont="1" applyFill="1"/>
    <x:xf numFmtId="0" fontId="13" fillId="18" borderId="0" xfId="0" applyFont="1" applyFill="1"/>
    <x:xf numFmtId="4" fontId="13" fillId="18" borderId="0" xfId="0" applyNumberFormat="1" applyFont="1" applyFill="1"/>
    <x:xf numFmtId="171" fontId="13" fillId="18" borderId="0" xfId="0" applyNumberFormat="1" applyFont="1" applyFill="1"/>
    <x:xf numFmtId="0" fontId="11" fillId="25" borderId="13" xfId="0" applyFont="1" applyFill="1" applyBorder="1"/>
    <x:xf numFmtId="0" fontId="9" fillId="18" borderId="7" xfId="0" applyFont="1" applyFill="1" applyBorder="1" applyAlignment="1">
      <x:alignment horizontal="right" vertical="center"/>
    </x:xf>
    <x:xf numFmtId="2" fontId="0" fillId="18" borderId="0" xfId="0" applyNumberFormat="1" applyFill="1"/>
    <x:xf numFmtId="2" fontId="0" fillId="26" borderId="0" xfId="0" applyNumberFormat="1" applyFill="1"/>
    <x:xf numFmtId="4" fontId="0" fillId="18" borderId="0" xfId="0" applyNumberFormat="1" applyFill="1"/>
    <x:xf numFmtId="171" fontId="0" fillId="0" borderId="0" xfId="0" applyNumberFormat="1"/>
    <x:xf numFmtId="0" fontId="0" fillId="18" borderId="13" xfId="0" applyFill="1" applyBorder="1"/>
    <x:xf numFmtId="0" fontId="17" fillId="4" borderId="0" xfId="0" applyFont="1" applyFill="1"/>
    <x:xf numFmtId="0" fontId="18" fillId="18" borderId="0" xfId="0" applyFont="1" applyFill="1"/>
    <x:xf numFmtId="0" fontId="0" fillId="26" borderId="0" xfId="0" applyFill="1"/>
    <x:xf numFmtId="0" fontId="9" fillId="18" borderId="13" xfId="0" applyFont="1" applyFill="1" applyBorder="1" applyAlignment="1">
      <x:alignment horizontal="left" vertical="center"/>
    </x:xf>
    <x:xf numFmtId="0" fontId="32" fillId="4" borderId="0" xfId="0" applyFont="1" applyFill="1"/>
    <x:xf numFmtId="0" fontId="33" fillId="4" borderId="0" xfId="0" applyFont="1" applyFill="1"/>
    <x:xf numFmtId="4" fontId="34" fillId="0" borderId="0" xfId="0" applyNumberFormat="1" applyFont="1"/>
    <x:xf numFmtId="0" fontId="35" fillId="29" borderId="0" xfId="0" applyFont="1" applyFill="1" applyAlignment="1">
      <x:alignment horizontal="center"/>
    </x:xf>
    <x:xf numFmtId="0" fontId="35" fillId="30" borderId="0" xfId="0" applyFont="1" applyFill="1" applyAlignment="1">
      <x:alignment horizontal="center"/>
    </x:xf>
    <x:xf numFmtId="0" fontId="35" fillId="31" borderId="0" xfId="0" applyFont="1" applyFill="1" applyAlignment="1">
      <x:alignment horizontal="center"/>
    </x:xf>
    <x:xf numFmtId="0" fontId="35" fillId="32" borderId="0" xfId="0" applyFont="1" applyFill="1" applyAlignment="1">
      <x:alignment horizontal="center"/>
    </x:xf>
    <x:xf numFmtId="0" fontId="35" fillId="33" borderId="0" xfId="0" applyFont="1" applyFill="1" applyAlignment="1">
      <x:alignment horizontal="center"/>
    </x:xf>
    <x:xf numFmtId="0" fontId="35" fillId="34" borderId="0" xfId="0" applyFont="1" applyFill="1" applyAlignment="1">
      <x:alignment horizontal="center"/>
    </x:xf>
    <x:xf numFmtId="0" fontId="35" fillId="35" borderId="0" xfId="0" applyFont="1" applyFill="1" applyAlignment="1">
      <x:alignment horizontal="center"/>
    </x:xf>
    <x:xf numFmtId="0" fontId="35" fillId="36" borderId="0" xfId="0" applyFont="1" applyFill="1" applyAlignment="1">
      <x:alignment horizontal="center"/>
    </x:xf>
    <x:xf numFmtId="0" fontId="35" fillId="37" borderId="0" xfId="0" applyFont="1" applyFill="1" applyAlignment="1">
      <x:alignment horizontal="center"/>
    </x:xf>
    <x:xf numFmtId="0" fontId="35" fillId="38" borderId="0" xfId="0" applyFont="1" applyFill="1" applyAlignment="1">
      <x:alignment horizontal="center"/>
    </x:xf>
    <x:xf numFmtId="0" fontId="35" fillId="39" borderId="0" xfId="0" applyFont="1" applyFill="1" applyAlignment="1">
      <x:alignment horizontal="center"/>
    </x:xf>
    <x:xf numFmtId="0" fontId="36" fillId="0" borderId="0" xfId="0" applyFont="1"/>
    <x:xf numFmtId="0" fontId="36" fillId="4" borderId="0" xfId="0" applyFont="1" applyFill="1"/>
    <x:xf numFmtId="0" fontId="13" fillId="28" borderId="0" xfId="0" applyFont="1" applyFill="1"/>
    <x:xf numFmtId="0" fontId="9" fillId="28" borderId="0" xfId="0" applyFont="1" applyFill="1"/>
    <x:xf numFmtId="4" fontId="0" fillId="26" borderId="0" xfId="0" applyNumberFormat="1" applyFill="1"/>
    <x:xf numFmtId="2" fontId="0" fillId="26" borderId="13" xfId="0" applyNumberFormat="1" applyFill="1" applyBorder="1"/>
    <x:xf numFmtId="3" fontId="0" fillId="0" borderId="0" xfId="0" applyNumberFormat="1"/>
    <x:xf numFmtId="0" fontId="9" fillId="4" borderId="0" xfId="0" applyFont="1" applyFill="1" applyAlignment="1">
      <x:alignment horizontal="left" vertical="center"/>
    </x:xf>
    <x:xf numFmtId="0" fontId="0" fillId="4" borderId="0" xfId="0" applyFill="1" applyAlignment="1">
      <x:alignment horizontal="left"/>
    </x:xf>
    <x:xf numFmtId="0" fontId="9" fillId="40" borderId="7" xfId="0" applyFont="1" applyFill="1" applyBorder="1" applyAlignment="1">
      <x:alignment horizontal="right"/>
    </x:xf>
    <x:xf numFmtId="37" fontId="0" fillId="4" borderId="0" xfId="0" applyNumberFormat="1" applyFill="1" applyAlignment="1">
      <x:alignment horizontal="right"/>
    </x:xf>
    <x:xf numFmtId="0" fontId="12" fillId="17" borderId="7" xfId="0" applyFont="1" applyFill="1" applyBorder="1" applyAlignment="1">
      <x:alignment horizontal="right"/>
    </x:xf>
    <x:xf numFmtId="3" fontId="13" fillId="8" borderId="0" xfId="0" applyNumberFormat="1" applyFont="1" applyFill="1"/>
    <x:xf numFmtId="10" fontId="22" fillId="26" borderId="0" xfId="1" applyNumberFormat="1" applyFill="1"/>
    <x:xf numFmtId="165" fontId="22" fillId="0" borderId="0" xfId="1" applyNumberFormat="1"/>
    <x:xf numFmtId="2" fontId="0" fillId="0" borderId="0" xfId="0" applyNumberFormat="1"/>
    <x:xf numFmtId="10" fontId="0" fillId="0" borderId="0" xfId="1" applyNumberFormat="1" applyFont="1"/>
    <x:xf numFmtId="0" fontId="11" fillId="4" borderId="0" xfId="0" applyFont="1" applyFill="1" applyAlignment="1">
      <x:alignment horizontal="center"/>
    </x:xf>
    <x:xf numFmtId="0" fontId="0" fillId="4" borderId="0" xfId="0" applyFill="1"/>
    <x:xf numFmtId="0" fontId="0" fillId="4" borderId="0" xfId="0" applyFill="1" applyAlignment="1">
      <x:alignment horizontal="center"/>
    </x:xf>
    <x:xf numFmtId="0" fontId="18" fillId="4" borderId="0" xfId="0" applyFont="1" applyFill="1" applyAlignment="1">
      <x:alignment horizontal="center"/>
    </x:xf>
    <x:xf numFmtId="0" fontId="21" fillId="4" borderId="0" xfId="0" applyFont="1" applyFill="1" applyAlignment="1">
      <x:alignment horizontal="left"/>
    </x:xf>
    <x:xf numFmtId="0" fontId="20" fillId="4" borderId="0" xfId="0" applyFont="1" applyFill="1" applyAlignment="1">
      <x:alignment horizontal="center" wrapText="1"/>
    </x:xf>
    <x:xf numFmtId="175" fontId="20" fillId="4" borderId="0" xfId="0" applyNumberFormat="1" applyFont="1" applyFill="1" applyAlignment="1">
      <x:alignment horizontal="center"/>
    </x:xf>
    <x:xf numFmtId="0" fontId="0" fillId="4" borderId="0" xfId="0" applyFill="1" applyAlignment="1">
      <x:alignment horizontal="left"/>
    </x:xf>
    <x:xf numFmtId="0" fontId="8" fillId="2" borderId="0" xfId="0" applyFont="1" applyFill="1" applyAlignment="1">
      <x:alignment horizontal="left" vertical="center"/>
    </x:xf>
    <x:xf numFmtId="0" fontId="0" fillId="3" borderId="0" xfId="0" applyFill="1" applyAlignment="1">
      <x:alignment horizontal="center"/>
    </x:xf>
    <x:xf numFmtId="0" fontId="0" fillId="5" borderId="0" xfId="0" applyFill="1" applyAlignment="1">
      <x:alignment horizontal="center"/>
    </x:xf>
    <x:xf numFmtId="0" fontId="19" fillId="4" borderId="0" xfId="0" applyFont="1" applyFill="1" applyAlignment="1">
      <x:alignment horizontal="center"/>
    </x:xf>
    <x:xf numFmtId="0" fontId="10" fillId="4" borderId="0" xfId="0" applyFont="1" applyFill="1" applyAlignment="1">
      <x:alignment horizontal="center"/>
    </x:xf>
    <x:xf numFmtId="0" fontId="4" fillId="2" borderId="0" xfId="0" applyFont="1" applyFill="1" applyAlignment="1">
      <x:alignment horizontal="center"/>
    </x:xf>
    <x:xf numFmtId="0" fontId="5" fillId="2" borderId="0" xfId="0" applyFont="1" applyFill="1" applyAlignment="1">
      <x:alignment horizontal="center"/>
    </x:xf>
    <x:xf numFmtId="0" fontId="0" fillId="2" borderId="1" xfId="0" applyFill="1" applyBorder="1" applyAlignment="1">
      <x:alignment horizontal="center"/>
    </x:xf>
    <x:xf numFmtId="0" fontId="0" fillId="3" borderId="2" xfId="0" applyFill="1" applyBorder="1" applyAlignment="1">
      <x:alignment horizontal="center"/>
    </x:xf>
    <x:xf numFmtId="0" fontId="0" fillId="5" borderId="3" xfId="0" applyFill="1" applyBorder="1" applyAlignment="1">
      <x:alignment horizontal="center"/>
    </x:xf>
    <x:xf numFmtId="0" fontId="3" fillId="2" borderId="0" xfId="0" applyFont="1" applyFill="1" applyAlignment="1">
      <x:alignment horizontal="center" vertical="center"/>
    </x:xf>
    <x:xf numFmtId="0" fontId="9" fillId="17" borderId="0" xfId="0" applyFont="1" applyFill="1" applyAlignment="1">
      <x:alignment horizontal="center"/>
    </x:xf>
    <x:xf numFmtId="0" fontId="0" fillId="2" borderId="0" xfId="0" applyFill="1" applyAlignment="1">
      <x:alignment horizontal="center"/>
    </x:xf>
    <x:xf numFmtId="0" fontId="0" fillId="4" borderId="0" xfId="0" applyFill="1" applyAlignment="1">
      <x:alignment horizontal="left" vertical="top" wrapText="1"/>
    </x:xf>
    <x:xf numFmtId="0" fontId="8" fillId="2" borderId="0" xfId="0" applyFont="1" applyFill="1" applyAlignment="1">
      <x:alignment horizontal="center" vertical="center"/>
    </x:xf>
    <x:xf numFmtId="0" fontId="0" fillId="4" borderId="0" xfId="0" applyFill="1" applyAlignment="1">
      <x:alignment horizontal="left" vertical="center"/>
    </x:xf>
    <x:xf numFmtId="0" fontId="9" fillId="4" borderId="0" xfId="0" applyFont="1" applyFill="1" applyAlignment="1">
      <x:alignment horizontal="left"/>
    </x:xf>
    <x:xf numFmtId="0" fontId="12" fillId="4" borderId="0" xfId="0" applyFont="1" applyFill="1" applyAlignment="1">
      <x:alignment horizontal="left" vertical="center"/>
    </x:xf>
    <x:xf numFmtId="0" fontId="8" fillId="2" borderId="1" xfId="0" applyFont="1" applyFill="1" applyBorder="1" applyAlignment="1">
      <x:alignment horizontal="left" vertical="center"/>
    </x:xf>
    <x:xf numFmtId="37" fontId="0" fillId="4" borderId="0" xfId="0" applyNumberFormat="1" applyFill="1" applyAlignment="1">
      <x:alignment horizontal="center"/>
    </x:xf>
    <x:xf numFmtId="37" fontId="11" fillId="4" borderId="0" xfId="0" applyNumberFormat="1" applyFont="1" applyFill="1" applyAlignment="1">
      <x:alignment horizontal="left" vertical="center"/>
    </x:xf>
    <x:xf numFmtId="37" fontId="0" fillId="4" borderId="0" xfId="0" applyNumberFormat="1" applyFill="1" applyAlignment="1">
      <x:alignment horizontal="left" vertical="center"/>
    </x:xf>
    <x:xf numFmtId="37" fontId="8" fillId="2" borderId="1" xfId="0" applyNumberFormat="1" applyFont="1" applyFill="1" applyBorder="1" applyAlignment="1">
      <x:alignment horizontal="left" vertical="center"/>
    </x:xf>
    <x:xf numFmtId="37" fontId="0" fillId="3" borderId="2" xfId="0" applyNumberFormat="1" applyFill="1" applyBorder="1" applyAlignment="1">
      <x:alignment horizontal="center"/>
    </x:xf>
    <x:xf numFmtId="37" fontId="0" fillId="5" borderId="3" xfId="0" applyNumberFormat="1" applyFill="1" applyBorder="1" applyAlignment="1">
      <x:alignment horizontal="center"/>
    </x:xf>
    <x:xf numFmtId="37" fontId="0" fillId="2" borderId="0" xfId="0" applyNumberFormat="1" applyFill="1" applyAlignment="1">
      <x:alignment horizontal="center"/>
    </x:xf>
    <x:xf numFmtId="0" fontId="11" fillId="4" borderId="0" xfId="0" applyFont="1" applyFill="1" applyAlignment="1">
      <x:alignment horizontal="left" vertical="center"/>
    </x:xf>
    <x:xf numFmtId="37" fontId="15" fillId="0" borderId="0" xfId="0" applyNumberFormat="1" applyFont="1" applyAlignment="1">
      <x:alignment horizontal="center" vertical="top" wrapText="1"/>
    </x:xf>
    <x:xf numFmtId="37" fontId="12" fillId="4" borderId="0" xfId="0" applyNumberFormat="1" applyFont="1" applyFill="1" applyAlignment="1">
      <x:alignment horizontal="left" vertical="center"/>
    </x:xf>
    <x:xf numFmtId="37" fontId="0" fillId="4" borderId="0" xfId="0" applyNumberFormat="1" applyFill="1" applyAlignment="1">
      <x:alignment horizontal="center" vertical="top" wrapText="1"/>
    </x:xf>
    <x:xf numFmtId="0" fontId="25" fillId="9" borderId="12" xfId="0" applyFont="1" applyFill="1" applyBorder="1" applyAlignment="1">
      <x:alignment horizontal="center"/>
    </x:xf>
    <x:xf numFmtId="0" fontId="25" fillId="4" borderId="0" xfId="0" applyFont="1" applyFill="1" applyAlignment="1">
      <x:alignment horizontal="center"/>
    </x:xf>
    <x:xf numFmtId="0" fontId="27" fillId="4" borderId="0" xfId="0" applyFont="1" applyFill="1" applyAlignment="1">
      <x:alignment horizontal="left" vertical="center"/>
    </x:xf>
    <x:xf numFmtId="0" fontId="26" fillId="7" borderId="10" xfId="0" applyFont="1" applyFill="1" applyBorder="1" applyAlignment="1">
      <x:alignment horizontal="center"/>
    </x:xf>
    <x:xf numFmtId="0" fontId="25" fillId="9" borderId="11" xfId="0" applyFont="1" applyFill="1" applyBorder="1" applyAlignment="1">
      <x:alignment horizontal="center"/>
    </x:xf>
    <x:xf numFmtId="0" fontId="24" fillId="2" borderId="1" xfId="0" applyFont="1" applyFill="1" applyBorder="1" applyAlignment="1">
      <x:alignment horizontal="left" vertical="center"/>
    </x:xf>
    <x:xf numFmtId="0" fontId="25" fillId="3" borderId="2" xfId="0" applyFont="1" applyFill="1" applyBorder="1" applyAlignment="1">
      <x:alignment horizontal="center"/>
    </x:xf>
    <x:xf numFmtId="0" fontId="25" fillId="5" borderId="3" xfId="0" applyFont="1" applyFill="1" applyBorder="1" applyAlignment="1">
      <x:alignment horizontal="center"/>
    </x:xf>
    <x:xf numFmtId="0" fontId="25" fillId="2" borderId="0" xfId="0" applyFont="1" applyFill="1" applyAlignment="1">
      <x:alignment horizontal="center"/>
    </x:xf>
    <x:xf numFmtId="37" fontId="12" fillId="4" borderId="0" xfId="0" applyNumberFormat="1" applyFont="1" applyFill="1"/>
    <x:xf numFmtId="37" fontId="11" fillId="4" borderId="0" xfId="0" applyNumberFormat="1" applyFont="1" applyFill="1"/>
    <x:xf numFmtId="37" fontId="9" fillId="7" borderId="10" xfId="0" applyNumberFormat="1" applyFont="1" applyFill="1" applyBorder="1" applyAlignment="1">
      <x:alignment horizontal="center"/>
    </x:xf>
    <x:xf numFmtId="37" fontId="0" fillId="9" borderId="11" xfId="0" applyNumberFormat="1" applyFill="1" applyBorder="1" applyAlignment="1">
      <x:alignment horizontal="center"/>
    </x:xf>
    <x:xf numFmtId="0" fontId="9" fillId="7" borderId="10" xfId="0" applyFont="1" applyFill="1" applyBorder="1" applyAlignment="1">
      <x:alignment horizontal="center"/>
    </x:xf>
    <x:xf numFmtId="0" fontId="0" fillId="9" borderId="12" xfId="0" applyFill="1" applyBorder="1" applyAlignment="1">
      <x:alignment horizontal="center"/>
    </x:xf>
    <x:xf numFmtId="0" fontId="11" fillId="9" borderId="12" xfId="0" applyFont="1" applyFill="1" applyBorder="1" applyAlignment="1">
      <x:alignment horizontal="center"/>
    </x:xf>
    <x:xf numFmtId="0" fontId="11" fillId="4" borderId="0" xfId="0" applyFont="1" applyFill="1"/>
    <x:xf numFmtId="0" fontId="12" fillId="4" borderId="0" xfId="0" applyFont="1" applyFill="1"/>
    <x:xf numFmtId="0" fontId="12" fillId="13" borderId="0" xfId="0" applyFont="1" applyFill="1" applyAlignment="1">
      <x:alignment horizontal="center" vertical="center"/>
    </x:xf>
    <x:xf numFmtId="10" fontId="9" fillId="16" borderId="0" xfId="0" applyNumberFormat="1" applyFont="1" applyFill="1" applyAlignment="1">
      <x:alignment horizontal="center"/>
    </x:xf>
    <x:xf numFmtId="0" fontId="0" fillId="22" borderId="0" xfId="0" applyFill="1" applyAlignment="1">
      <x:alignment horizontal="center" vertical="center" wrapText="1"/>
    </x:xf>
    <x:xf numFmtId="0" fontId="0" fillId="22" borderId="0" xfId="0" applyFill="1" applyAlignment="1">
      <x:alignment horizontal="center" vertical="center"/>
    </x:xf>
    <x:xf numFmtId="0" fontId="9" fillId="16" borderId="0" xfId="0" applyFont="1" applyFill="1" applyAlignment="1">
      <x:alignment horizontal="center"/>
    </x:xf>
    <x:xf numFmtId="0" fontId="0" fillId="27" borderId="0" xfId="0" applyFill="1" applyAlignment="1">
      <x:alignment horizontal="center"/>
    </x:xf>
    <x:xf numFmtId="0" fontId="12" fillId="0" borderId="0" xfId="0" applyFont="1" applyAlignment="1">
      <x:alignment horizontal="left" vertical="center"/>
    </x:xf>
    <x:xf numFmtId="0" fontId="11" fillId="0" borderId="0" xfId="0" applyFont="1" applyAlignment="1">
      <x:alignment horizontal="left" vertical="center"/>
    </x:xf>
    <x:xf numFmtId="0" fontId="12" fillId="4" borderId="0" xfId="0" applyFont="1" applyFill="1" applyAlignment="1">
      <x:alignment horizontal="left"/>
    </x:xf>
    <x:xf numFmtId="0" fontId="9" fillId="23" borderId="0" xfId="0" applyFont="1" applyFill="1" applyAlignment="1">
      <x:alignment horizontal="center" vertical="center"/>
    </x:xf>
    <x:xf numFmtId="0" fontId="12" fillId="24" borderId="0" xfId="0" applyFont="1" applyFill="1" applyAlignment="1">
      <x:alignment horizontal="center" vertical="center"/>
    </x:xf>
    <x:xf numFmtId="0" fontId="0" fillId="8" borderId="0" xfId="0" applyFill="1" applyAlignment="1">
      <x:alignment horizontal="center" vertical="center"/>
    </x:xf>
    <x:xf numFmtId="0" fontId="9" fillId="9" borderId="0" xfId="0" applyFont="1" applyFill="1" applyAlignment="1">
      <x:alignment horizontal="center"/>
    </x:xf>
    <x:xf numFmtId="0" fontId="0" fillId="8" borderId="0" xfId="0" applyFill="1" applyAlignment="1">
      <x:alignment horizontal="center" vertical="center" wrapText="1"/>
    </x:xf>
    <x:xf numFmtId="10" fontId="9" fillId="9" borderId="0" xfId="0" applyNumberFormat="1" applyFont="1" applyFill="1" applyAlignment="1">
      <x:alignment horizontal="center"/>
    </x:xf>
    <x:xf numFmtId="0" fontId="31" fillId="18" borderId="0" xfId="0" applyFont="1" applyFill="1" applyAlignment="1">
      <x:alignment horizontal="right"/>
    </x:xf>
    <x:xf numFmtId="0" fontId="12" fillId="17" borderId="0" xfId="0" applyFont="1" applyFill="1" applyAlignment="1">
      <x:alignment horizontal="center"/>
    </x:xf>
    <x:xf numFmtId="0" fontId="12" fillId="18" borderId="0" xfId="0" applyFont="1" applyFill="1" applyAlignment="1">
      <x:alignment horizontal="center" vertical="center"/>
    </x:xf>
    <x:xf numFmtId="0" fontId="12" fillId="18" borderId="13" xfId="0" applyFont="1" applyFill="1" applyBorder="1" applyAlignment="1">
      <x:alignment horizontal="center" vertical="center"/>
    </x:xf>
    <x:xf numFmtId="0" fontId="12" fillId="18" borderId="0" xfId="0" applyFont="1" applyFill="1" applyAlignment="1">
      <x:alignment horizontal="center"/>
    </x:xf>
    <x:xf numFmtId="0" fontId="12" fillId="25" borderId="0" xfId="0" applyFont="1" applyFill="1" applyAlignment="1">
      <x:alignment horizontal="center"/>
    </x:xf>
    <x:xf numFmtId="0" fontId="38" fillId="0" borderId="0" xfId="0" applyFont="1"/>
    <x:xf numFmtId="0" fontId="17" fillId="0" borderId="0" xfId="0" applyFont="1" applyAlignment="1">
      <x:alignment vertical="center"/>
    </x:xf>
    <x:xf numFmtId="0" fontId="0" fillId="0" borderId="0" xfId="0" applyAlignment="1">
      <x:alignment vertical="center"/>
    </x:xf>
    <x:xf numFmtId="10" fontId="0" fillId="0" borderId="0" xfId="0" applyNumberFormat="1" applyAlignment="1">
      <x:alignment vertical="center"/>
    </x:xf>
    <x:xf numFmtId="0" fontId="0" fillId="0" borderId="0" xfId="0" applyAlignment="1">
      <x:alignment horizontal="center" vertical="center"/>
    </x:xf>
    <x:xf numFmtId="168" fontId="13" fillId="0" borderId="0" xfId="0" applyNumberFormat="1" applyFont="1"/>
    <x:xf numFmtId="4" fontId="13" fillId="4" borderId="0" xfId="0" applyNumberFormat="1" applyFont="1" applyFill="1" applyBorder="1"/>
    <x:xf numFmtId="4" fontId="9" fillId="0" borderId="0" xfId="0" applyNumberFormat="1" applyFont="1" applyBorder="1"/>
    <x:xf numFmtId="4" fontId="9" fillId="13" borderId="0" xfId="0" applyNumberFormat="1" applyFont="1" applyFill="1" applyBorder="1" applyAlignment="1">
      <x:alignment horizontal="center"/>
    </x:xf>
    <x:xf numFmtId="10" fontId="9" fillId="13" borderId="0" xfId="0" applyNumberFormat="1" applyFont="1" applyFill="1" applyBorder="1" applyAlignment="1">
      <x:alignment horizontal="center"/>
    </x:xf>
    <x:xf numFmtId="0" fontId="9" fillId="17" borderId="0" xfId="0" applyFont="1" applyFill="1" applyAlignment="1">
      <x:alignment horizontal="right"/>
    </x:xf>
    <x:xf numFmtId="3" fontId="0" fillId="18" borderId="0" xfId="0" applyNumberFormat="1" applyFill="1"/>
    <x:xf numFmtId="165" fontId="0" fillId="26" borderId="0" xfId="0" applyNumberFormat="1" applyFill="1"/>
    <x:xf numFmtId="0" fontId="0" fillId="14" borderId="0" xfId="0" applyFill="1"/>
    <x:xf numFmtId="4" fontId="0" fillId="14" borderId="0" xfId="0" applyNumberFormat="1" applyFill="1"/>
    <x:xf numFmtId="165" fontId="0" fillId="41" borderId="0" xfId="0" applyNumberFormat="1" applyFill="1"/>
    <x:xf numFmtId="174" fontId="0" fillId="41" borderId="0" xfId="0" applyNumberFormat="1" applyFill="1"/>
    <x:xf numFmtId="2" fontId="0" fillId="14" borderId="0" xfId="0" applyNumberFormat="1" applyFill="1"/>
    <x:xf numFmtId="3" fontId="0" fillId="18" borderId="0" xfId="0" applyNumberFormat="1" applyFill="1" applyAlignment="1">
      <x:alignment horizontal="right"/>
    </x:xf>
    <x:xf numFmtId="10" fontId="0" fillId="26" borderId="0" xfId="0" applyNumberFormat="1" applyFill="1"/>
    <x:xf numFmtId="0" fontId="9" fillId="9" borderId="0" xfId="0" applyFont="1" applyFill="1"/>
    <x:xf numFmtId="0" fontId="0" fillId="18" borderId="0" xfId="0" applyFill="1" applyAlignment="1">
      <x:alignment vertical="center"/>
    </x:xf>
    <x:xf numFmtId="0" fontId="0" fillId="18" borderId="0" xfId="0" applyFill="1" applyAlignment="1">
      <x:alignment horizontal="left" vertical="center"/>
    </x:xf>
    <x:xf numFmtId="10" fontId="0" fillId="18" borderId="0" xfId="0" applyNumberFormat="1" applyFill="1"/>
    <x:xf numFmtId="0" fontId="0" fillId="4" borderId="0" xfId="0" applyFill="1" applyAlignment="1"/>
    <x:xf numFmtId="0" fontId="9" fillId="20" borderId="0" xfId="0" applyFont="1" applyFill="1"/>
    <x:xf numFmtId="0" fontId="9" fillId="4" borderId="0" xfId="0" applyFont="1" applyFill="1" applyAlignment="1"/>
    <x:xf numFmtId="10" fontId="22" fillId="41" borderId="0" xfId="1" applyNumberFormat="1" applyFill="1"/>
    <x:xf numFmtId="0" fontId="13" fillId="4" borderId="0" xfId="0" applyFont="1" applyFill="1"/>
    <x:xf numFmtId="165" fontId="13" fillId="28" borderId="0" xfId="0" applyNumberFormat="1" applyFont="1" applyFill="1"/>
    <x:xf numFmtId="2" fontId="9" fillId="42" borderId="0" xfId="0" applyNumberFormat="1" applyFont="1" applyFill="1"/>
    <x:xf numFmtId="0" fontId="6" fillId="6" borderId="0" xfId="0" applyFont="1" applyFill="1" applyAlignment="1">
      <x:alignment horizontal="center" vertical="center"/>
    </x:xf>
    <x:xf numFmtId="0" fontId="0" fillId="4" borderId="0" xfId="0" applyFill="1" applyAlignment="1">
      <x:alignment vertical="top" wrapText="1"/>
    </x:xf>
    <x:xf numFmtId="0" fontId="0" fillId="0" borderId="0" xfId="0" applyFont="1" applyFill="1" applyAlignment="1">
      <x:alignment horizontal="left" vertical="center" wrapText="1"/>
    </x:xf>
    <x:xf numFmtId="0" fontId="0" fillId="0" borderId="0" xfId="0" applyFont="1" applyFill="1" applyAlignment="1">
      <x:alignment horizontal="left" vertical="center"/>
    </x:xf>
    <x:xf numFmtId="0" fontId="39" fillId="0" borderId="0" xfId="0" applyFont="1" applyFill="1" applyBorder="1" applyAlignment="1">
      <x:alignment horizontal="left" vertical="center"/>
    </x:xf>
    <x:xf numFmtId="0" fontId="40" fillId="0" borderId="0" xfId="0" applyFont="1" applyFill="1" applyBorder="1" applyAlignment="1">
      <x:alignment horizontal="left" vertical="center"/>
    </x:xf>
    <x:xf numFmtId="3" fontId="40" fillId="0" borderId="0" xfId="0" applyNumberFormat="1" applyFont="1" applyFill="1" applyBorder="1" applyAlignment="1">
      <x:alignment horizontal="left" vertical="center"/>
    </x:xf>
    <x:xf numFmtId="3" fontId="39" fillId="0" borderId="0" xfId="0" applyNumberFormat="1" applyFont="1" applyFill="1" applyBorder="1" applyAlignment="1">
      <x:alignment horizontal="left" vertical="center"/>
    </x:xf>
    <x:xf numFmtId="0" fontId="39" fillId="0" borderId="13" xfId="0" applyFont="1" applyFill="1" applyBorder="1" applyAlignment="1">
      <x:alignment horizontal="left" vertical="center"/>
    </x:xf>
    <x:xf numFmtId="39" fontId="13" fillId="14" borderId="0" xfId="0" applyNumberFormat="1" applyFont="1" applyFill="1"/>
    <x:xf numFmtId="10" fontId="13" fillId="14" borderId="0" xfId="0" applyNumberFormat="1" applyFont="1" applyFill="1"/>
    <x:xf numFmtId="0" fontId="25" fillId="4" borderId="0" xfId="0" applyFont="1" applyFill="1" applyAlignment="1">
      <x:alignment horizontal="right"/>
    </x:xf>
    <x:xf numFmtId="0" fontId="28" fillId="4" borderId="0" xfId="0" applyFont="1" applyFill="1" applyAlignment="1">
      <x:alignment horizontal="left"/>
    </x:xf>
    <x:xf numFmtId="0" fontId="28" fillId="15" borderId="0" xfId="0" applyFont="1" applyFill="1" applyAlignment="1">
      <x:alignment horizontal="left"/>
    </x:xf>
    <x:xf numFmtId="0" fontId="11" fillId="18" borderId="0" xfId="0" applyFont="1" applyFill="1"/>
    <x:xf numFmtId="37" fontId="13" fillId="4" borderId="0" xfId="0" applyNumberFormat="1" applyFont="1" applyFill="1"/>
    <x:xf numFmtId="10" fontId="13" fillId="4" borderId="0" xfId="0" applyNumberFormat="1" applyFont="1" applyFill="1"/>
    <x:xf numFmtId="37" fontId="13" fillId="4" borderId="0" xfId="0" applyNumberFormat="1" applyFont="1" applyFill="1"/>
    <x:xf numFmtId="37" fontId="9" fillId="4" borderId="0" xfId="0" applyNumberFormat="1" applyFont="1" applyFill="1"/>
    <x:xf numFmtId="37" fontId="11" fillId="4" borderId="0" xfId="0" applyNumberFormat="1" applyFont="1" applyFill="1" applyAlignment="1">
      <x:alignment horizontal="left"/>
    </x:xf>
    <x:xf numFmtId="37" fontId="12" fillId="4" borderId="0" xfId="0" applyNumberFormat="1" applyFont="1" applyFill="1" applyAlignment="1">
      <x:alignment horizontal="left"/>
    </x:xf>
    <x:xf numFmtId="37" fontId="11" fillId="4" borderId="0" xfId="0" applyNumberFormat="1" applyFont="1" applyFill="1" applyAlignment="1"/>
    <x:xf numFmtId="37" fontId="0" fillId="43" borderId="0" xfId="0" applyNumberFormat="1" applyFill="1"/>
    <x:xf numFmtId="0" fontId="11" fillId="41" borderId="0" xfId="0" applyFont="1" applyFill="1"/>
    <x:xf numFmtId="0" fontId="11" fillId="14" borderId="0" xfId="0" applyFont="1" applyFill="1"/>
    <x:xf numFmtId="10" fontId="13" fillId="11" borderId="0" xfId="0" applyNumberFormat="1" applyFont="1" applyFill="1"/>
    <x:xf numFmtId="37" fontId="13" fillId="11" borderId="0" xfId="0" applyNumberFormat="1" applyFont="1" applyFill="1"/>
    <x:xf numFmtId="2" fontId="13" fillId="41" borderId="0" xfId="0" applyNumberFormat="1" applyFont="1" applyFill="1"/>
    <x:xf numFmtId="3" fontId="13" fillId="11" borderId="0" xfId="0" applyNumberFormat="1" applyFont="1" applyFill="1"/>
    <x:xf numFmtId="2" fontId="13" fillId="11" borderId="0" xfId="0" applyNumberFormat="1" applyFont="1" applyFill="1"/>
    <x:xf numFmtId="2" fontId="0" fillId="0" borderId="0" xfId="0" applyNumberFormat="1" applyFill="1"/>
    <x:xf numFmtId="170" fontId="9" fillId="8" borderId="0" xfId="0" applyNumberFormat="1" applyFont="1" applyFill="1"/>
    <x:xf numFmtId="0" fontId="12" fillId="4" borderId="0" xfId="0" applyFont="1" applyFill="1" applyAlignment="1">
      <x:alignment horizontal="center"/>
    </x:xf>
    <x:xf numFmtId="0" fontId="11" fillId="0" borderId="0" xfId="0" applyFont="1" applyAlignment="1">
      <x:alignment horizontal="left"/>
    </x:xf>
    <x:xf numFmtId="0" fontId="12" fillId="0" borderId="0" xfId="0" applyFont="1" applyAlignment="1">
      <x:alignment horizontal="left"/>
    </x:xf>
    <x:xf numFmtId="0" fontId="9" fillId="0" borderId="0" xfId="0" applyFont="1" applyAlignment="1">
      <x:alignment horizontal="left"/>
    </x:xf>
    <x:xf numFmtId="0" fontId="9" fillId="7" borderId="0" xfId="0" applyFont="1" applyFill="1" applyAlignment="1">
      <x:alignment horizontal="center"/>
    </x:xf>
    <x:xf numFmtId="0" fontId="0" fillId="27" borderId="0" xfId="0" applyFill="1" applyAlignment="1"/>
    <x:xf numFmtId="183" fontId="8" fillId="2" borderId="1" xfId="4" applyNumberFormat="1" applyFont="1" applyFill="1" applyBorder="1" applyAlignment="1">
      <x:alignment horizontal="left" vertical="center"/>
    </x:xf>
    <x:xf numFmtId="183" fontId="0" fillId="0" borderId="0" xfId="4" applyNumberFormat="1" applyFont="1"/>
    <x:xf numFmtId="183" fontId="0" fillId="3" borderId="2" xfId="4" applyNumberFormat="1" applyFont="1" applyFill="1" applyBorder="1" applyAlignment="1">
      <x:alignment horizontal="center"/>
    </x:xf>
    <x:xf numFmtId="183" fontId="0" fillId="4" borderId="0" xfId="4" applyNumberFormat="1" applyFont="1" applyFill="1" applyAlignment="1">
      <x:alignment horizontal="center"/>
    </x:xf>
    <x:xf numFmtId="183" fontId="0" fillId="5" borderId="3" xfId="4" applyNumberFormat="1" applyFont="1" applyFill="1" applyBorder="1" applyAlignment="1">
      <x:alignment horizontal="center"/>
    </x:xf>
    <x:xf numFmtId="183" fontId="0" fillId="2" borderId="0" xfId="4" applyNumberFormat="1" applyFont="1" applyFill="1" applyAlignment="1">
      <x:alignment horizontal="center"/>
    </x:xf>
    <x:xf numFmtId="183" fontId="0" fillId="4" borderId="0" xfId="4" applyNumberFormat="1" applyFont="1" applyFill="1"/>
    <x:xf numFmtId="183" fontId="0" fillId="4" borderId="0" xfId="4" applyNumberFormat="1" applyFont="1" applyFill="1" applyAlignment="1">
      <x:alignment horizontal="right"/>
    </x:xf>
    <x:xf numFmtId="183" fontId="9" fillId="9" borderId="0" xfId="4" applyNumberFormat="1" applyFont="1" applyFill="1" applyAlignment="1">
      <x:alignment horizontal="right"/>
    </x:xf>
    <x:xf numFmtId="183" fontId="9" fillId="10" borderId="0" xfId="4" applyNumberFormat="1" applyFont="1" applyFill="1" applyAlignment="1">
      <x:alignment horizontal="right"/>
    </x:xf>
    <x:xf numFmtId="183" fontId="9" fillId="4" borderId="0" xfId="4" applyNumberFormat="1" applyFont="1" applyFill="1" applyAlignment="1">
      <x:alignment horizontal="right"/>
    </x:xf>
    <x:xf numFmtId="183" fontId="12" fillId="4" borderId="0" xfId="4" applyNumberFormat="1" applyFont="1" applyFill="1" applyAlignment="1">
      <x:alignment horizontal="left" vertical="center"/>
    </x:xf>
    <x:xf numFmtId="183" fontId="9" fillId="4" borderId="0" xfId="4" applyNumberFormat="1" applyFont="1" applyFill="1" applyAlignment="1">
      <x:alignment vertical="center"/>
    </x:xf>
    <x:xf numFmtId="183" fontId="0" fillId="8" borderId="0" xfId="4" applyNumberFormat="1" applyFont="1" applyFill="1"/>
    <x:xf numFmtId="183" fontId="11" fillId="4" borderId="0" xfId="4" applyNumberFormat="1" applyFont="1" applyFill="1" applyAlignment="1">
      <x:alignment horizontal="left" vertical="center"/>
    </x:xf>
    <x:xf numFmtId="183" fontId="0" fillId="4" borderId="0" xfId="4" applyNumberFormat="1" applyFont="1" applyFill="1" applyAlignment="1">
      <x:alignment vertical="center"/>
    </x:xf>
    <x:xf numFmtId="183" fontId="12" fillId="4" borderId="0" xfId="4" applyNumberFormat="1" applyFont="1" applyFill="1"/>
    <x:xf numFmtId="183" fontId="0" fillId="4" borderId="0" xfId="4" applyNumberFormat="1" applyFont="1" applyFill="1" applyAlignment="1">
      <x:alignment horizontal="left" vertical="center"/>
    </x:xf>
    <x:xf numFmtId="183" fontId="9" fillId="8" borderId="0" xfId="4" applyNumberFormat="1" applyFont="1" applyFill="1" applyAlignment="1">
      <x:alignment horizontal="right"/>
    </x:xf>
    <x:xf numFmtId="183" fontId="9" fillId="8" borderId="0" xfId="4" applyNumberFormat="1" applyFont="1" applyFill="1"/>
    <x:xf numFmtId="183" fontId="9" fillId="4" borderId="0" xfId="4" applyNumberFormat="1" applyFont="1" applyFill="1" applyAlignment="1">
      <x:alignment horizontal="left"/>
    </x:xf>
    <x:xf numFmtId="183" fontId="11" fillId="4" borderId="0" xfId="4" applyNumberFormat="1" applyFont="1" applyFill="1"/>
    <x:xf numFmtId="183" fontId="9" fillId="4" borderId="0" xfId="4" applyNumberFormat="1" applyFont="1" applyFill="1"/>
    <x:xf numFmtId="183" fontId="0" fillId="14" borderId="0" xfId="4" applyNumberFormat="1" applyFont="1" applyFill="1"/>
    <x:xf numFmtId="183" fontId="9" fillId="14" borderId="0" xfId="4" applyNumberFormat="1" applyFont="1" applyFill="1" applyAlignment="1">
      <x:alignment horizontal="right"/>
    </x:xf>
    <x:xf numFmtId="183" fontId="9" fillId="14" borderId="0" xfId="4" applyNumberFormat="1" applyFont="1" applyFill="1"/>
    <x:xf numFmtId="0" fontId="11" fillId="4" borderId="0" xfId="0" applyFont="1" applyFill="1" applyAlignment="1">
      <x:alignment horizontal="left"/>
    </x:xf>
    <x:xf numFmtId="0" fontId="11" fillId="4" borderId="0" xfId="0" applyFont="1" applyFill="1" applyAlignment="1">
      <x:alignment vertical="center"/>
    </x:xf>
    <x:xf numFmtId="10" fontId="13" fillId="28" borderId="0" xfId="0" applyNumberFormat="1" applyFont="1" applyFill="1"/>
    <x:xf numFmtId="4" fontId="13" fillId="28" borderId="0" xfId="0" applyNumberFormat="1" applyFont="1" applyFill="1"/>
    <x:xf numFmtId="0" fontId="9" fillId="28" borderId="0" xfId="0" applyFont="1" applyFill="1" applyAlignment="1">
      <x:alignment horizontal="left"/>
    </x:xf>
    <x:xf numFmtId="0" fontId="11" fillId="13" borderId="0" xfId="0" applyFont="1" applyFill="1" applyAlignment="1">
      <x:alignment horizontal="right"/>
    </x:xf>
    <x:xf numFmtId="171" fontId="9" fillId="14" borderId="0" xfId="0" applyNumberFormat="1" applyFont="1" applyFill="1" applyAlignment="1">
      <x:alignment horizontal="right"/>
    </x:xf>
    <x:xf numFmtId="171" fontId="13" fillId="14" borderId="0" xfId="0" applyNumberFormat="1" applyFont="1" applyFill="1" applyAlignment="1">
      <x:alignment horizontal="right"/>
    </x:xf>
    <x:xf numFmtId="173" fontId="9" fillId="14" borderId="0" xfId="0" applyNumberFormat="1" applyFont="1" applyFill="1" applyAlignment="1">
      <x:alignment horizontal="right"/>
    </x:xf>
    <x:xf numFmtId="173" fontId="13" fillId="14" borderId="0" xfId="0" applyNumberFormat="1" applyFont="1" applyFill="1" applyAlignment="1">
      <x:alignment horizontal="right"/>
    </x:xf>
    <x:xf numFmtId="0" fontId="12" fillId="44" borderId="0" xfId="0" applyFont="1" applyFill="1" applyAlignment="1">
      <x:alignment horizontal="center"/>
    </x:xf>
    <x:xf numFmtId="0" fontId="9" fillId="44" borderId="7" xfId="0" applyFont="1" applyFill="1" applyBorder="1" applyAlignment="1">
      <x:alignment horizontal="right" vertical="center"/>
    </x:xf>
    <x:xf numFmtId="2" fontId="0" fillId="41" borderId="0" xfId="0" applyNumberFormat="1" applyFill="1"/>
    <x:xf numFmtId="0" fontId="42" fillId="18" borderId="0" xfId="0" applyFont="1" applyFill="1" applyAlignment="1">
      <x:alignment horizontal="center"/>
    </x:xf>
    <x:xf numFmtId="0" fontId="0" fillId="17" borderId="0" xfId="0" applyFill="1"/>
    <x:xf numFmtId="0" fontId="9" fillId="17" borderId="0" xfId="0" applyFont="1" applyFill="1"/>
    <x:xf numFmtId="165" fontId="0" fillId="18" borderId="0" xfId="0" applyNumberFormat="1" applyFill="1"/>
    <x:xf numFmtId="43" fontId="43" fillId="18" borderId="0" xfId="0" applyNumberFormat="1" applyFont="1" applyFill="1" applyAlignment="1">
      <x:alignment horizontal="right"/>
    </x:xf>
    <x:xf numFmtId="0" fontId="43" fillId="18" borderId="0" xfId="0" applyFont="1" applyFill="1"/>
    <x:xf numFmtId="0" fontId="0" fillId="17" borderId="0" xfId="0" applyFill="1" applyAlignment="1">
      <x:alignment horizontal="right"/>
    </x:xf>
    <x:xf numFmtId="164" fontId="0" fillId="18" borderId="0" xfId="0" applyNumberFormat="1" applyFill="1" applyAlignment="1">
      <x:alignment horizontal="right"/>
    </x:xf>
    <x:xf numFmtId="2" fontId="0" fillId="18" borderId="0" xfId="0" applyNumberFormat="1" applyFill="1" applyAlignment="1"/>
    <x:xf numFmtId="10" fontId="22" fillId="26" borderId="0" xfId="1" applyNumberFormat="1" applyFill="1" applyAlignment="1">
      <x:alignment horizontal="right"/>
    </x:xf>
    <x:xf numFmtId="0" fontId="0" fillId="45" borderId="0" xfId="0" applyNumberFormat="1" applyFont="1" applyFill="1" applyBorder="1"/>
    <x:xf numFmtId="0" fontId="44" fillId="45" borderId="0" xfId="0" applyNumberFormat="1" applyFont="1" applyFill="1" applyBorder="1"/>
    <x:xf numFmtId="0" fontId="44" fillId="45" borderId="0" xfId="0" applyNumberFormat="1" applyFont="1" applyFill="1" applyBorder="1" applyAlignment="1">
      <x:alignment vertical="center"/>
    </x:xf>
    <x:xf numFmtId="0" fontId="45" fillId="0" borderId="0" xfId="0" applyNumberFormat="1" applyFont="1" applyFill="1" applyBorder="1"/>
    <x:xf numFmtId="0" fontId="45" fillId="46" borderId="0" xfId="0" applyNumberFormat="1" applyFont="1" applyFill="1" applyBorder="1"/>
    <x:xf numFmtId="0" fontId="0" fillId="46" borderId="0" xfId="0" applyNumberFormat="1" applyFont="1" applyFill="1" applyBorder="1"/>
    <x:xf numFmtId="0" fontId="46" fillId="46" borderId="0" xfId="0" applyNumberFormat="1" applyFont="1" applyFill="1" applyBorder="1"/>
    <x:xf numFmtId="200" fontId="0" fillId="0" borderId="0" xfId="0" applyNumberFormat="1" applyFont="1" applyFill="1" applyBorder="1"/>
    <x:xf numFmtId="201" fontId="0" fillId="0" borderId="0" xfId="0" applyNumberFormat="1" applyFont="1" applyFill="1" applyBorder="1"/>
    <x:xf numFmtId="0" fontId="44" fillId="45"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45" fillId="0" borderId="0" xfId="0" applyNumberFormat="1" applyFont="1" applyFill="1" applyBorder="1" applyAlignment="1">
      <x:alignment wrapText="1"/>
    </x:xf>
    <x:xf numFmtId="20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0" fontId="46" fillId="46" borderId="0" xfId="0" applyNumberFormat="1" applyFont="1" applyFill="1" applyBorder="1" applyAlignment="1">
      <x:alignment wrapText="1"/>
    </x:xf>
  </x:cellXfs>
  <x:cellStyles count="5">
    <x:cellStyle name="Comma" xfId="4"/>
    <x:cellStyle name="Normal" xfId="0"/>
    <x:cellStyle name="Normal 2" xfId="2"/>
    <x:cellStyle name="Per cent" xfId="1"/>
    <x:cellStyle name="Per cent 2" xfId="3"/>
  </x:cellStyles>
  <x:dxfs count="11">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
      <x:fill>
        <x:patternFill>
          <x:bgColor indexed="64"/>
        </x:patternFill>
      </x:fill>
    </x:dxf>
  </x:dxfs>
  <x:colors>
    <x:indexedColors>
      <x:rgbColor rgb="FF000000"/>
      <x:rgbColor rgb="FFFFFFFF"/>
      <x:rgbColor rgb="FFFF0000"/>
      <x:rgbColor rgb="FF00FF00"/>
      <x:rgbColor rgb="FF0000FF"/>
      <x:rgbColor rgb="FFFFFF00"/>
      <x:rgbColor rgb="FFFF00FF"/>
      <x:rgbColor rgb="FF00FFFF"/>
      <x:rgbColor rgb="FFC00000"/>
      <x:rgbColor rgb="FF008000"/>
      <x:rgbColor rgb="FF000080"/>
      <x:rgbColor rgb="FF808000"/>
      <x:rgbColor rgb="FF800080"/>
      <x:rgbColor rgb="FF008C44"/>
      <x:rgbColor rgb="FFBFBFBF"/>
      <x:rgbColor rgb="FF808080"/>
      <x:rgbColor rgb="FF9999FF"/>
      <x:rgbColor rgb="FF993366"/>
      <x:rgbColor rgb="FFF4F1EC"/>
      <x:rgbColor rgb="FFDCEAF7"/>
      <x:rgbColor rgb="FF660066"/>
      <x:rgbColor rgb="FFFF8080"/>
      <x:rgbColor rgb="FF0066CC"/>
      <x:rgbColor rgb="FFD9D9D9"/>
      <x:rgbColor rgb="FF000080"/>
      <x:rgbColor rgb="FFFF00FF"/>
      <x:rgbColor rgb="FFFFD900"/>
      <x:rgbColor rgb="FF00FFFF"/>
      <x:rgbColor rgb="FF800080"/>
      <x:rgbColor rgb="FFD40000"/>
      <x:rgbColor rgb="FF0F9ED5"/>
      <x:rgbColor rgb="FF0000FF"/>
      <x:rgbColor rgb="FF00CCFF"/>
      <x:rgbColor rgb="FFF2F2F2"/>
      <x:rgbColor rgb="FFCCFFCC"/>
      <x:rgbColor rgb="FFFFFF99"/>
      <x:rgbColor rgb="FFA6CAEC"/>
      <x:rgbColor rgb="FFFF99CC"/>
      <x:rgbColor rgb="FFCC99FF"/>
      <x:rgbColor rgb="FFFFCC99"/>
      <x:rgbColor rgb="FF3366FF"/>
      <x:rgbColor rgb="FF33CCCC"/>
      <x:rgbColor rgb="FF99CC00"/>
      <x:rgbColor rgb="FFFFC000"/>
      <x:rgbColor rgb="FFFFD800"/>
      <x:rgbColor rgb="FFFF6600"/>
      <x:rgbColor rgb="FF467886"/>
      <x:rgbColor rgb="FF969696"/>
      <x:rgbColor rgb="FF003366"/>
      <x:rgbColor rgb="FF4EA72E"/>
      <x:rgbColor rgb="FF141414"/>
      <x:rgbColor rgb="FF1F1F1F"/>
      <x:rgbColor rgb="FF993300"/>
      <x:rgbColor rgb="FF993366"/>
      <x:rgbColor rgb="FF595959"/>
      <x:rgbColor rgb="FF232323"/>
      <x:rgbColor rgb="00003366"/>
      <x:rgbColor rgb="00339966"/>
      <x:rgbColor rgb="00003300"/>
      <x:rgbColor rgb="00333300"/>
      <x:rgbColor rgb="00993300"/>
      <x:rgbColor rgb="00993366"/>
      <x:rgbColor rgb="00333399"/>
      <x:rgbColor rgb="00333333"/>
    </x:indexedColors>
  </x:colors>
</x:styleSheet>
</file>

<file path=xl/_rels/workbook.xml.rels><?xml version='1.0' encoding='utf-8'?>
<Relationships xmlns="http://schemas.openxmlformats.org/package/2006/relationships"><Relationship Type="http://schemas.openxmlformats.org/officeDocument/2006/relationships/styles" Target="/xl/styles.xml" Id="R14d602443998427c" /><Relationship Type="http://schemas.openxmlformats.org/officeDocument/2006/relationships/theme" Target="/xl/theme/theme1.xml" Id="R790076584d8349c5" /><Relationship Type="http://schemas.openxmlformats.org/officeDocument/2006/relationships/sheetMetadata" Target="/xl/metadata1.xml" Id="R69d0edf9c7f8448c" /><Relationship Type="http://schemas.openxmlformats.org/officeDocument/2006/relationships/sharedStrings" Target="/xl/sharedStrings.xml" Id="Rbb66cb82b3774ee9" /><Relationship Type="http://schemas.openxmlformats.org/officeDocument/2006/relationships/worksheet" Target="/xl/worksheets/sheet1.xml" Id="R054288126c004e82" /><Relationship Type="http://schemas.openxmlformats.org/officeDocument/2006/relationships/worksheet" Target="/xl/worksheets/sheet2.xml" Id="Rb5df6eba0d8747ff" /><Relationship Type="http://schemas.openxmlformats.org/officeDocument/2006/relationships/worksheet" Target="/xl/worksheets/sheet3.xml" Id="R1238bccfe10841c1" /><Relationship Type="http://schemas.openxmlformats.org/officeDocument/2006/relationships/worksheet" Target="/xl/worksheets/sheet4.xml" Id="Rb2cb5fcf14af434e" /><Relationship Type="http://schemas.openxmlformats.org/officeDocument/2006/relationships/worksheet" Target="/xl/worksheets/sheet5.xml" Id="R8905d467306142b3" /><Relationship Type="http://schemas.openxmlformats.org/officeDocument/2006/relationships/worksheet" Target="/xl/worksheets/sheet6.xml" Id="R2d5c0f00448d45f9" /><Relationship Type="http://schemas.openxmlformats.org/officeDocument/2006/relationships/worksheet" Target="/xl/worksheets/sheet7.xml" Id="R27bec16cdeee425b" /><Relationship Type="http://schemas.openxmlformats.org/officeDocument/2006/relationships/worksheet" Target="/xl/worksheets/sheet8.xml" Id="Reb414ac859e841a0" /><Relationship Type="http://schemas.openxmlformats.org/officeDocument/2006/relationships/worksheet" Target="/xl/worksheets/sheet9.xml" Id="Ra28359bb4776406b" /><Relationship Type="http://schemas.openxmlformats.org/officeDocument/2006/relationships/worksheet" Target="/xl/worksheets/sheet10.xml" Id="R8c7467df70d449b4" /><Relationship Type="http://schemas.openxmlformats.org/officeDocument/2006/relationships/worksheet" Target="/xl/worksheets/sheet11.xml" Id="R62ea0cc2f4ee4b89" /><Relationship Type="http://schemas.openxmlformats.org/officeDocument/2006/relationships/worksheet" Target="/xl/worksheets/sheet12.xml" Id="R9529c97c9eaf4abd" /><Relationship Type="http://schemas.openxmlformats.org/officeDocument/2006/relationships/worksheet" Target="/xl/worksheets/sheet13.xml" Id="R50d957678a11407a" /><Relationship Type="http://schemas.openxmlformats.org/officeDocument/2006/relationships/worksheet" Target="/xl/worksheets/sheet14.xml" Id="Rea3cf687bd45469f" /><Relationship Type="http://schemas.openxmlformats.org/officeDocument/2006/relationships/worksheet" Target="/xl/worksheets/sheet15.xml" Id="R15076d15f55b49f0" /><Relationship Type="http://schemas.openxmlformats.org/officeDocument/2006/relationships/worksheet" Target="/xl/worksheets/sheet16.xml" Id="Rcd7c83a0d6254426" /><Relationship Type="http://schemas.openxmlformats.org/officeDocument/2006/relationships/worksheet" Target="/xl/worksheets/sheet17.xml" Id="R59a1407ce25946dd" /><Relationship Type="http://schemas.openxmlformats.org/officeDocument/2006/relationships/worksheet" Target="/xl/worksheets/sheet18.xml" Id="Ra77e6cc7ef7d40ed" /><Relationship Type="http://schemas.openxmlformats.org/officeDocument/2006/relationships/worksheet" Target="/xl/worksheets/sheet19.xml" Id="R22b7e2dfd54a40d8" /><Relationship Type="http://schemas.openxmlformats.org/officeDocument/2006/relationships/worksheet" Target="/xl/worksheets/sheet20.xml" Id="R3f7bed4222d34446" /><Relationship Type="http://schemas.openxmlformats.org/officeDocument/2006/relationships/worksheet" Target="/xl/worksheets/sheet21.xml" Id="Rd1c0b032904e4687" /><Relationship Type="http://schemas.openxmlformats.org/officeDocument/2006/relationships/worksheet" Target="/xl/worksheets/sheet22.xml" Id="R247cbf784fe64b4c" /><Relationship Type="http://schemas.openxmlformats.org/officeDocument/2006/relationships/worksheet" Target="/xl/worksheets/sheet23.xml" Id="R651fda8523e040ed" /><Relationship Type="http://schemas.openxmlformats.org/officeDocument/2006/relationships/worksheet" Target="/xl/worksheets/sheet24.xml" Id="R6a18a85c8244404c" /><Relationship Type="http://schemas.openxmlformats.org/officeDocument/2006/relationships/worksheet" Target="/xl/worksheets/sheet25.xml" Id="R5cce3dbf0c004eb2" /></Relationships>
</file>

<file path=xl/drawings/_rels/drawing1.xml.rels><?xml version='1.0' encoding='utf-8'?>
<Relationships xmlns="http://schemas.openxmlformats.org/package/2006/relationships"><Relationship Type="http://schemas.openxmlformats.org/officeDocument/2006/relationships/image" Target="/xl/media/image.png" Id="Rbe51e11fc771411a" /></Relationships>
</file>

<file path=xl/drawings/_rels/drawing10.xml.rels><?xml version='1.0' encoding='utf-8'?>
<Relationships xmlns="http://schemas.openxmlformats.org/package/2006/relationships"><Relationship Type="http://schemas.openxmlformats.org/officeDocument/2006/relationships/image" Target="/xl/media/image10.png" Id="R315083c6c783441e" /></Relationships>
</file>

<file path=xl/drawings/_rels/drawing11.xml.rels><?xml version='1.0' encoding='utf-8'?>
<Relationships xmlns="http://schemas.openxmlformats.org/package/2006/relationships"><Relationship Type="http://schemas.openxmlformats.org/officeDocument/2006/relationships/image" Target="/xl/media/image11.png" Id="R995b45b0e6b24000" /></Relationships>
</file>

<file path=xl/drawings/_rels/drawing12.xml.rels><?xml version='1.0' encoding='utf-8'?>
<Relationships xmlns="http://schemas.openxmlformats.org/package/2006/relationships"><Relationship Type="http://schemas.openxmlformats.org/officeDocument/2006/relationships/image" Target="/xl/media/image12.png" Id="Rb012e4d987ee45e6" /></Relationships>
</file>

<file path=xl/drawings/_rels/drawing13.xml.rels><?xml version='1.0' encoding='utf-8'?>
<Relationships xmlns="http://schemas.openxmlformats.org/package/2006/relationships"><Relationship Type="http://schemas.openxmlformats.org/officeDocument/2006/relationships/image" Target="/xl/media/image13.png" Id="R7dabadd334b040e0" /></Relationships>
</file>

<file path=xl/drawings/_rels/drawing14.xml.rels><?xml version='1.0' encoding='utf-8'?>
<Relationships xmlns="http://schemas.openxmlformats.org/package/2006/relationships"><Relationship Type="http://schemas.openxmlformats.org/officeDocument/2006/relationships/image" Target="/xl/media/image14.png" Id="Rcf9ba98734d44474" /></Relationships>
</file>

<file path=xl/drawings/_rels/drawing15.xml.rels><?xml version='1.0' encoding='utf-8'?>
<Relationships xmlns="http://schemas.openxmlformats.org/package/2006/relationships"><Relationship Type="http://schemas.openxmlformats.org/officeDocument/2006/relationships/image" Target="/xl/media/image15.png" Id="R7047523f99104819" /></Relationships>
</file>

<file path=xl/drawings/_rels/drawing16.xml.rels><?xml version='1.0' encoding='utf-8'?>
<Relationships xmlns="http://schemas.openxmlformats.org/package/2006/relationships"><Relationship Type="http://schemas.openxmlformats.org/officeDocument/2006/relationships/image" Target="/xl/media/image16.png" Id="Rfb6767c27ee14efa" /></Relationships>
</file>

<file path=xl/drawings/_rels/drawing17.xml.rels><?xml version='1.0' encoding='utf-8'?>
<Relationships xmlns="http://schemas.openxmlformats.org/package/2006/relationships"><Relationship Type="http://schemas.openxmlformats.org/officeDocument/2006/relationships/image" Target="/xl/media/image17.png" Id="Rda94430a86df4f67" /><Relationship Type="http://schemas.openxmlformats.org/officeDocument/2006/relationships/chart" Target="/xl/drawings/charts/chart1.xml" Id="R42659b0246c540f6" /><Relationship Type="http://schemas.openxmlformats.org/officeDocument/2006/relationships/chart" Target="/xl/drawings/charts/chart2.xml" Id="R4554e22c86e44924" /></Relationships>
</file>

<file path=xl/drawings/_rels/drawing18.xml.rels><?xml version='1.0' encoding='utf-8'?>
<Relationships xmlns="http://schemas.openxmlformats.org/package/2006/relationships"><Relationship Type="http://schemas.openxmlformats.org/officeDocument/2006/relationships/image" Target="/xl/media/image18.png" Id="R94d20828102941d3" /></Relationships>
</file>

<file path=xl/drawings/_rels/drawing19.xml.rels><?xml version='1.0' encoding='utf-8'?>
<Relationships xmlns="http://schemas.openxmlformats.org/package/2006/relationships"><Relationship Type="http://schemas.openxmlformats.org/officeDocument/2006/relationships/image" Target="/xl/media/image19.png" Id="R310ad8f0f87b4f08" /></Relationships>
</file>

<file path=xl/drawings/_rels/drawing2.xml.rels><?xml version='1.0' encoding='utf-8'?>
<Relationships xmlns="http://schemas.openxmlformats.org/package/2006/relationships"><Relationship Type="http://schemas.openxmlformats.org/officeDocument/2006/relationships/image" Target="/xl/media/image2.png" Id="R69e7ab245fd3421b" /></Relationships>
</file>

<file path=xl/drawings/_rels/drawing20.xml.rels><?xml version='1.0' encoding='utf-8'?>
<Relationships xmlns="http://schemas.openxmlformats.org/package/2006/relationships"><Relationship Type="http://schemas.openxmlformats.org/officeDocument/2006/relationships/image" Target="/xl/media/image20.png" Id="R5bc41286b96f40e9" /></Relationships>
</file>

<file path=xl/drawings/_rels/drawing21.xml.rels><?xml version='1.0' encoding='utf-8'?>
<Relationships xmlns="http://schemas.openxmlformats.org/package/2006/relationships"><Relationship Type="http://schemas.openxmlformats.org/officeDocument/2006/relationships/image" Target="/xl/media/image21.png" Id="R11b87b3cfab24c9d" /></Relationships>
</file>

<file path=xl/drawings/_rels/drawing22.xml.rels><?xml version='1.0' encoding='utf-8'?>
<Relationships xmlns="http://schemas.openxmlformats.org/package/2006/relationships"><Relationship Type="http://schemas.openxmlformats.org/officeDocument/2006/relationships/image" Target="/xl/media/image22.png" Id="R608df7c30eb044d6" /></Relationships>
</file>

<file path=xl/drawings/_rels/drawing23.xml.rels><?xml version='1.0' encoding='utf-8'?>
<Relationships xmlns="http://schemas.openxmlformats.org/package/2006/relationships"><Relationship Type="http://schemas.openxmlformats.org/officeDocument/2006/relationships/image" Target="/xl/media/image23.png" Id="R09ad44e96e3f4830" /><Relationship Type="http://schemas.openxmlformats.org/officeDocument/2006/relationships/chart" Target="/xl/drawings/charts/chart3.xml" Id="Rbb1c856f77b442a3" /><Relationship Type="http://schemas.openxmlformats.org/officeDocument/2006/relationships/chart" Target="/xl/drawings/charts/chart4.xml" Id="Rcc5ac8f9b07f4bf2" /><Relationship Type="http://schemas.openxmlformats.org/officeDocument/2006/relationships/chart" Target="/xl/drawings/charts/chart5.xml" Id="Ra2a66eeecd094806" /><Relationship Type="http://schemas.openxmlformats.org/officeDocument/2006/relationships/chart" Target="/xl/drawings/charts/chart6.xml" Id="R25181ccccbd74407" /><Relationship Type="http://schemas.openxmlformats.org/officeDocument/2006/relationships/chart" Target="/xl/drawings/charts/chart7.xml" Id="Rf65025779b8f4251" /><Relationship Type="http://schemas.openxmlformats.org/officeDocument/2006/relationships/chart" Target="/xl/drawings/charts/chart8.xml" Id="Ra6026cbbf9274237" /><Relationship Type="http://schemas.openxmlformats.org/officeDocument/2006/relationships/chart" Target="/xl/drawings/charts/chart9.xml" Id="R71461cb5d72a471f" /><Relationship Type="http://schemas.openxmlformats.org/officeDocument/2006/relationships/chart" Target="/xl/drawings/charts/chart10.xml" Id="Rfe2f0757a1e348fa" /></Relationships>
</file>

<file path=xl/drawings/_rels/drawing3.xml.rels><?xml version='1.0' encoding='utf-8'?>
<Relationships xmlns="http://schemas.openxmlformats.org/package/2006/relationships"><Relationship Type="http://schemas.openxmlformats.org/officeDocument/2006/relationships/image" Target="/xl/media/image3.png" Id="R3bcbc6fdb6aa4f7c" /></Relationships>
</file>

<file path=xl/drawings/_rels/drawing4.xml.rels><?xml version='1.0' encoding='utf-8'?>
<Relationships xmlns="http://schemas.openxmlformats.org/package/2006/relationships"><Relationship Type="http://schemas.openxmlformats.org/officeDocument/2006/relationships/image" Target="/xl/media/image4.png" Id="R9516896638c44811" /></Relationships>
</file>

<file path=xl/drawings/_rels/drawing5.xml.rels><?xml version='1.0' encoding='utf-8'?>
<Relationships xmlns="http://schemas.openxmlformats.org/package/2006/relationships"><Relationship Type="http://schemas.openxmlformats.org/officeDocument/2006/relationships/image" Target="/xl/media/image5.png" Id="R918fad51fbb848af" /></Relationships>
</file>

<file path=xl/drawings/_rels/drawing6.xml.rels><?xml version='1.0' encoding='utf-8'?>
<Relationships xmlns="http://schemas.openxmlformats.org/package/2006/relationships"><Relationship Type="http://schemas.openxmlformats.org/officeDocument/2006/relationships/image" Target="/xl/media/image6.png" Id="R2e6571a79b174b53" /></Relationships>
</file>

<file path=xl/drawings/_rels/drawing7.xml.rels><?xml version='1.0' encoding='utf-8'?>
<Relationships xmlns="http://schemas.openxmlformats.org/package/2006/relationships"><Relationship Type="http://schemas.openxmlformats.org/officeDocument/2006/relationships/image" Target="/xl/media/image7.png" Id="R82f2fda63ad54d33" /></Relationships>
</file>

<file path=xl/drawings/_rels/drawing8.xml.rels><?xml version='1.0' encoding='utf-8'?>
<Relationships xmlns="http://schemas.openxmlformats.org/package/2006/relationships"><Relationship Type="http://schemas.openxmlformats.org/officeDocument/2006/relationships/image" Target="/xl/media/image8.png" Id="Re654c22f79b54ea9" /></Relationships>
</file>

<file path=xl/drawings/_rels/drawing9.xml.rels><?xml version='1.0' encoding='utf-8'?>
<Relationships xmlns="http://schemas.openxmlformats.org/package/2006/relationships"><Relationship Type="http://schemas.openxmlformats.org/officeDocument/2006/relationships/image" Target="/xl/media/image9.png" Id="Rd289c28a02154c10" /></Relationships>
</file>

<file path=xl/drawings/charts/chart1.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title>
      <c:tx>
        <c:rich>
          <a:bodyPr xmlns:a="http://schemas.openxmlformats.org/drawingml/2006/main"/>
          <a:lstStyle xmlns:a="http://schemas.openxmlformats.org/drawingml/2006/main"/>
          <a:p xmlns:a="http://schemas.openxmlformats.org/drawingml/2006/main">
            <a:r>
              <a:rPr sz="1800" b="1" spc="-1">
                <a:solidFill>
                  <a:srgbClr val="000000"/>
                </a:solidFill>
                <a:latin typeface="Aptos Narrow"/>
                <a:ea typeface="Aptos Narrow"/>
                <a:cs typeface="Aptos Narrow"/>
              </a:rPr>
              <a:t>Ferrari vs S&amp;P 500 - Weekly returns</a:t>
            </a:r>
          </a:p>
        </c:rich>
      </c:tx>
      <c:overlay val="0"/>
      <c:txPr>
        <a:bodyPr xmlns:a="http://schemas.openxmlformats.org/drawingml/2006/main" anchorCtr="1"/>
        <a:lstStyle xmlns:a="http://schemas.openxmlformats.org/drawingml/2006/main"/>
        <a:p xmlns:a="http://schemas.openxmlformats.org/drawingml/2006/main">
          <a:pPr>
            <a:defRPr sz="1800" b="1" spc="-1">
              <a:solidFill>
                <a:srgbClr val="000000"/>
              </a:solidFill>
              <a:latin typeface="Aptos Narrow"/>
              <a:ea typeface="Aptos Narrow"/>
              <a:cs typeface="Aptos Narrow"/>
            </a:defRPr>
          </a:pPr>
        </a:p>
      </c:txPr>
    </c:title>
    <c:autoTitleDeleted val="0"/>
    <c:plotArea>
      <c:scatterChart>
        <c:scatterStyle val="lineMarker"/>
        <c:ser>
          <c:idx val="0"/>
          <c:order val="0"/>
          <c:tx>
            <c:v>Ferrari vs S&amp;P 500 — weekly returns</c:v>
          </c:tx>
          <c:spPr>
            <a:ln xmlns:a="http://schemas.openxmlformats.org/drawingml/2006/main" w="63360">
              <a:noFill/>
            </a:ln>
          </c:spPr>
          <c:marker>
            <c:symbol val="circle"/>
            <c:size val="4"/>
            <c:spPr>
              <a:solidFill xmlns:a="http://schemas.openxmlformats.org/drawingml/2006/main">
                <a:srgbClr val="4472C4"/>
              </a:solidFill>
            </c:spPr>
          </c:marke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1000" b="0" spc="-1">
                    <a:latin typeface="Arial"/>
                    <a:ea typeface="Arial"/>
                    <a:cs typeface="Arial"/>
                  </a:defRPr>
                </a:pPr>
              </a:p>
            </c:txPr>
            <c:showLegendKey val="0"/>
            <c:showVal val="0"/>
            <c:showCatName val="0"/>
            <c:showSerName val="0"/>
            <c:showPercent val="0"/>
            <c:showBubbleSize val="1"/>
            <c:separator> </c:separator>
            <c:showLeaderLines val="0"/>
          </c:dLbls>
          <c:trendline>
            <c:spPr>
              <a:ln xmlns:a="http://schemas.openxmlformats.org/drawingml/2006/main" w="19080">
                <a:solidFill>
                  <a:srgbClr val="C00000"/>
                </a:solidFill>
              </a:ln>
            </c:spPr>
            <c:trendlineType val="linear"/>
            <c:dispRSqr val="1"/>
            <c:dispEq val="1"/>
            <c:trendlineLbl>
              <c:layout>
                <c:manualLayout>
                  <c:x val="-0.00740891757915701"/>
                  <c:y val="-0.19537715277973564"/>
                </c:manualLayout>
              </c:layout>
              <c:numFmt formatCode="General" sourceLinked="0"/>
              <c:txPr>
                <a:bodyPr xmlns:a="http://schemas.openxmlformats.org/drawingml/2006/main" anchorCtr="1"/>
                <a:lstStyle xmlns:a="http://schemas.openxmlformats.org/drawingml/2006/main"/>
                <a:p xmlns:a="http://schemas.openxmlformats.org/drawingml/2006/main">
                  <a:pPr>
                    <a:defRPr sz="1200" b="1"/>
                  </a:pPr>
                </a:p>
              </c:txPr>
            </c:trendlineLbl>
          </c:trendline>
          <c:xVal>
            <c:numRef>
              <c:f>Beta!$S$10:$S$270</c:f>
              <c:numCache>
                <c:formatCode>0.00%</c:formatCode>
                <c:ptCount val="261"/>
                <c:pt idx="0">
                  <c:v>0.024717797706688138</c:v>
                </c:pt>
                <c:pt idx="1">
                  <c:v>0.0019239561109418712</c:v>
                </c:pt>
                <c:pt idx="2">
                  <c:v>-0.004921519152368825</c:v>
                </c:pt>
                <c:pt idx="3">
                  <c:v>0.02328266465047335</c:v>
                </c:pt>
                <c:pt idx="4">
                  <c:v>-0.01138979506371074</c:v>
                </c:pt>
                <c:pt idx="5">
                  <c:v>0.01822856942424589</c:v>
                </c:pt>
                <c:pt idx="6">
                  <c:v>0.0033414329739283044</c:v>
                </c:pt>
                <c:pt idx="7">
                  <c:v>0.0023478518080306543</c:v>
                </c:pt>
                <c:pt idx="8">
                  <c:v>0.006811001941860129</c:v>
                </c:pt>
                <c:pt idx="9">
                  <c:v>-0.0017507680873447562</c:v>
                </c:pt>
                <c:pt idx="10">
                  <c:v>-0.011039483653122573</c:v>
                </c:pt>
                <c:pt idx="11">
                  <c:v>0.0021471855963608455</c:v>
                </c:pt>
                <c:pt idx="12">
                  <c:v>0.00593046385644147</c:v>
                </c:pt>
                <c:pt idx="13">
                  <c:v>-0.012059217965237123</c:v>
                </c:pt>
                <c:pt idx="14">
                  <c:v>0.010747822754082925</c:v>
                </c:pt>
                <c:pt idx="15">
                  <c:v>0.015502630733498002</c:v>
                </c:pt>
                <c:pt idx="16">
                  <c:v>0.013212180619196046</c:v>
                </c:pt>
                <c:pt idx="17">
                  <c:v>0.021472957893551525</c:v>
                </c:pt>
                <c:pt idx="18">
                  <c:v>0.018420802076599685</c:v>
                </c:pt>
                <c:pt idx="19">
                  <c:v>0.006278507919481591</c:v>
                </c:pt>
                <c:pt idx="20">
                  <c:v>0.016634964720379175</c:v>
                </c:pt>
                <c:pt idx="21">
                  <c:v>-0.022514441275353514</c:v>
                </c:pt>
                <c:pt idx="22">
                  <c:v>-0.012842592136987574</c:v>
                </c:pt>
                <c:pt idx="23">
                  <c:v>0.03751619978067988</c:v>
                </c:pt>
                <c:pt idx="24">
                  <c:v>-0.014955812372535737</c:v>
                </c:pt>
                <c:pt idx="25">
                  <c:v>0.016533883487332535</c:v>
                </c:pt>
                <c:pt idx="26">
                  <c:v>0.004205379911574214</c:v>
                </c:pt>
                <c:pt idx="27">
                  <c:v>-0.016199235547061708</c:v>
                </c:pt>
                <c:pt idx="28">
                  <c:v>-0.006966652825634467</c:v>
                </c:pt>
                <c:pt idx="29">
                  <c:v>-0.05215796552145746</c:v>
                </c:pt>
                <c:pt idx="30">
                  <c:v>0.025334090088230843</c:v>
                </c:pt>
                <c:pt idx="31">
                  <c:v>-0.011367753623188426</c:v>
                </c:pt>
                <c:pt idx="32">
                  <c:v>-0.013285079481423767</c:v>
                </c:pt>
                <c:pt idx="33">
                  <c:v>-0.009270006345079462</c:v>
                </c:pt>
                <c:pt idx="34">
                  <c:v>0.015493038416278804</c:v>
                </c:pt>
                <c:pt idx="35">
                  <c:v>0.015741208381296</c:v>
                </c:pt>
                <c:pt idx="36">
                  <c:v>-0.02788497699388426</c:v>
                </c:pt>
                <c:pt idx="37">
                  <c:v>0.047833187503083074</c:v>
                </c:pt>
                <c:pt idx="38">
                  <c:v>0.024208695307428085</c:v>
                </c:pt>
                <c:pt idx="39">
                  <c:v>-0.00382490129286972</c:v>
                </c:pt>
                <c:pt idx="40">
                  <c:v>0.002588867868166922</c:v>
                </c:pt>
                <c:pt idx="41">
                  <c:v>-0.016251280796649503</c:v>
                </c:pt>
                <c:pt idx="42">
                  <c:v>-0.024165271348369877</c:v>
                </c:pt>
                <c:pt idx="43">
                  <c:v>-0.011650088567924821</c:v>
                </c:pt>
                <c:pt idx="44">
                  <c:v>-0.003967433346353855</c:v>
                </c:pt>
                <c:pt idx="45">
                  <c:v>-0.009117356812385347</c:v>
                </c:pt>
                <c:pt idx="46">
                  <c:v>-0.04331855408222918</c:v>
                </c:pt>
                <c:pt idx="47">
                  <c:v>0.04982262216357691</c:v>
                </c:pt>
                <c:pt idx="48">
                  <c:v>-0.013702228930247418</c:v>
                </c:pt>
                <c:pt idx="49">
                  <c:v>-0.03140978435151387</c:v>
                </c:pt>
                <c:pt idx="50">
                  <c:v>-0.05353050605268117</c:v>
                </c:pt>
                <c:pt idx="51">
                  <c:v>0.056492572388941786</c:v>
                </c:pt>
                <c:pt idx="52">
                  <c:v>-0.008460798032824068</c:v>
                </c:pt>
                <c:pt idx="53">
                  <c:v>0.04292057898185986</c:v>
                </c:pt>
                <c:pt idx="54">
                  <c:v>-0.0008369553597734614</c:v>
                </c:pt>
                <c:pt idx="55">
                  <c:v>0.01035458179806481</c:v>
                </c:pt>
                <c:pt idx="56">
                  <c:v>0.046154243504313186</c:v>
                </c:pt>
                <c:pt idx="57">
                  <c:v>0.004987038637205288</c:v>
                </c:pt>
                <c:pt idx="58">
                  <c:v>0.025108703662760634</c:v>
                </c:pt>
                <c:pt idx="59">
                  <c:v>0.009681493250513595</c:v>
                </c:pt>
                <c:pt idx="60">
                  <c:v>-0.03501285212813687</c:v>
                </c:pt>
                <c:pt idx="61">
                  <c:v>-0.03190523858831862</c:v>
                </c:pt>
                <c:pt idx="62">
                  <c:v>0.027804383560251722</c:v>
                </c:pt>
                <c:pt idx="63">
                  <c:v>-0.04323064335522597</c:v>
                </c:pt>
                <c:pt idx="64">
                  <c:v>-0.017028279707126948</c:v>
                </c:pt>
                <c:pt idx="65">
                  <c:v>-0.03736947099778953</c:v>
                </c:pt>
                <c:pt idx="66">
                  <c:v>0.018088589035448077</c:v>
                </c:pt>
                <c:pt idx="67">
                  <c:v>-0.011194009836997698</c:v>
                </c:pt>
                <c:pt idx="68">
                  <c:v>0.03447752126366943</c:v>
                </c:pt>
                <c:pt idx="69">
                  <c:v>0.029060133817144562</c:v>
                </c:pt>
                <c:pt idx="70">
                  <c:v>-0.03189554140127393</c:v>
                </c:pt>
                <c:pt idx="71">
                  <c:v>0.016074487934923054</c:v>
                </c:pt>
                <c:pt idx="72">
                  <c:v>-0.006045238274076659</c:v>
                </c:pt>
                <c:pt idx="73">
                  <c:v>0.00820575627679121</c:v>
                </c:pt>
                <c:pt idx="74">
                  <c:v>-0.0002093542584207242</c:v>
                </c:pt>
                <c:pt idx="75">
                  <c:v>-0.03555889903133991</c:v>
                </c:pt>
                <c:pt idx="76">
                  <c:v>-0.026292793807027093</c:v>
                </c:pt>
                <c:pt idx="77">
                  <c:v>-0.003460340968840514</c:v>
                </c:pt>
                <c:pt idx="78">
                  <c:v>-0.009776189081828202</c:v>
                </c:pt>
                <c:pt idx="79">
                  <c:v>0.021438753790488763</c:v>
                </c:pt>
                <c:pt idx="80">
                  <c:v>0.008687743753891919</c:v>
                </c:pt>
                <c:pt idx="81">
                  <c:v>-0.008087640017437003</c:v>
                </c:pt>
                <c:pt idx="82">
                  <c:v>0.022487184106654512</c:v>
                </c:pt>
                <c:pt idx="83">
                  <c:v>0.020137220353462437</c:v>
                </c:pt>
                <c:pt idx="84">
                  <c:v>0.0034282155222271626</c:v>
                </c:pt>
                <c:pt idx="85">
                  <c:v>-0.0038077056487052507</c:v>
                </c:pt>
                <c:pt idx="86">
                  <c:v>-0.014553384663313906</c:v>
                </c:pt>
                <c:pt idx="87">
                  <c:v>0.011561737873724054</c:v>
                </c:pt>
                <c:pt idx="88">
                  <c:v>-0.04942930828908043</c:v>
                </c:pt>
                <c:pt idx="89">
                  <c:v>0.013875036262415597</c:v>
                </c:pt>
                <c:pt idx="90">
                  <c:v>0.0054936819932036585</c:v>
                </c:pt>
                <c:pt idx="91">
                  <c:v>0.02464341175609719</c:v>
                </c:pt>
                <c:pt idx="92">
                  <c:v>-0.006982723050392048</c:v>
                </c:pt>
                <c:pt idx="93">
                  <c:v>0.003907456930075881</c:v>
                </c:pt>
                <c:pt idx="94">
                  <c:v>-0.0010878130447357082</c:v>
                </c:pt>
                <c:pt idx="95">
                  <c:v>0.003944296441102502</c:v>
                </c:pt>
                <c:pt idx="96">
                  <c:v>-0.008058670081327546</c:v>
                </c:pt>
                <c:pt idx="97">
                  <c:v>0.01359446512967688</c:v>
                </c:pt>
                <c:pt idx="98">
                  <c:v>0.019377468561609712</c:v>
                </c:pt>
                <c:pt idx="99">
                  <c:v>0.012664142098592457</c:v>
                </c:pt>
                <c:pt idx="100">
                  <c:v>0.019242975383572336</c:v>
                </c:pt>
                <c:pt idx="101">
                  <c:v>0.00030011404333651903</c:v>
                </c:pt>
                <c:pt idx="102">
                  <c:v>0.008310664853188321</c:v>
                </c:pt>
                <c:pt idx="103">
                  <c:v>-0.009546432857582055</c:v>
                </c:pt>
                <c:pt idx="104">
                  <c:v>0.020471057124688885</c:v>
                </c:pt>
                <c:pt idx="105">
                  <c:v>-0.016422198180163328</c:v>
                </c:pt>
                <c:pt idx="106">
                  <c:v>-0.00012720583650316364</c:v>
                </c:pt>
                <c:pt idx="107">
                  <c:v>0.017272260111656168</c:v>
                </c:pt>
                <c:pt idx="108">
                  <c:v>0.019092786134311535</c:v>
                </c:pt>
                <c:pt idx="109">
                  <c:v>-0.023448929698929755</c:v>
                </c:pt>
                <c:pt idx="110">
                  <c:v>0.004802397009651571</c:v>
                </c:pt>
                <c:pt idx="111">
                  <c:v>-0.014473206666208882</c:v>
                </c:pt>
                <c:pt idx="112">
                  <c:v>0.015429748734715698</c:v>
                </c:pt>
                <c:pt idx="113">
                  <c:v>0.02612188087344136</c:v>
                </c:pt>
                <c:pt idx="114">
                  <c:v>-0.005621532810981322</c:v>
                </c:pt>
                <c:pt idx="115">
                  <c:v>0.0014793716513006316</c:v>
                </c:pt>
                <c:pt idx="116">
                  <c:v>-0.02781234937375454</c:v>
                </c:pt>
                <c:pt idx="117">
                  <c:v>-9.126540720416632E-05</c:v>
                </c:pt>
                <c:pt idx="118">
                  <c:v>0.0046746954664089735</c:v>
                </c:pt>
                <c:pt idx="119">
                  <c:v>0.011167066484313759</c:v>
                </c:pt>
                <c:pt idx="120">
                  <c:v>-0.031409582411605186</c:v>
                </c:pt>
                <c:pt idx="121">
                  <c:v>-0.024636358622349475</c:v>
                </c:pt>
                <c:pt idx="122">
                  <c:v>0.04334348613949168</c:v>
                </c:pt>
                <c:pt idx="123">
                  <c:v>0.018557935346547927</c:v>
                </c:pt>
                <c:pt idx="124">
                  <c:v>0.0025637862769709585</c:v>
                </c:pt>
                <c:pt idx="125">
                  <c:v>0.005331583480293833</c:v>
                </c:pt>
                <c:pt idx="126">
                  <c:v>0.013203078318587247</c:v>
                </c:pt>
                <c:pt idx="127">
                  <c:v>0.013859974468468206</c:v>
                </c:pt>
                <c:pt idx="128">
                  <c:v>0.010467791858903341</c:v>
                </c:pt>
                <c:pt idx="129">
                  <c:v>-0.0021846882253397926</c:v>
                </c:pt>
                <c:pt idx="130">
                  <c:v>-0.0011538167470244165</c:v>
                </c:pt>
                <c:pt idx="131">
                  <c:v>-0.004604361269551216</c:v>
                </c:pt>
                <c:pt idx="132">
                  <c:v>0.018062209876773316</c:v>
                </c:pt>
                <c:pt idx="133">
                  <c:v>0.01727709503088959</c:v>
                </c:pt>
                <c:pt idx="134">
                  <c:v>0.012989759848073934</c:v>
                </c:pt>
                <c:pt idx="135">
                  <c:v>0.021350510884051488</c:v>
                </c:pt>
                <c:pt idx="136">
                  <c:v>0.013525092864040245</c:v>
                </c:pt>
                <c:pt idx="137">
                  <c:v>-0.0034461226828259583</c:v>
                </c:pt>
                <c:pt idx="138">
                  <c:v>0.012212951499165792</c:v>
                </c:pt>
                <c:pt idx="139">
                  <c:v>0.008277015169209756</c:v>
                </c:pt>
                <c:pt idx="140">
                  <c:v>-0.011816754854553357</c:v>
                </c:pt>
                <c:pt idx="141">
                  <c:v>0.0037597115206013942</c:v>
                </c:pt>
                <c:pt idx="142">
                  <c:v>0.030264937849358242</c:v>
                </c:pt>
                <c:pt idx="143">
                  <c:v>0.004783464119889835</c:v>
                </c:pt>
                <c:pt idx="144">
                  <c:v>-0.013174602522324053</c:v>
                </c:pt>
                <c:pt idx="145">
                  <c:v>0.002396508717795065</c:v>
                </c:pt>
                <c:pt idx="146">
                  <c:v>-0.03157656413249599</c:v>
                </c:pt>
                <c:pt idx="147">
                  <c:v>0.022786987566249195</c:v>
                </c:pt>
                <c:pt idx="148">
                  <c:v>-0.0009898187079930842</c:v>
                </c:pt>
                <c:pt idx="149">
                  <c:v>0.017372576267415063</c:v>
                </c:pt>
                <c:pt idx="150">
                  <c:v>0.006740821897457838</c:v>
                </c:pt>
                <c:pt idx="151">
                  <c:v>0.0023036280091652817</c:v>
                </c:pt>
                <c:pt idx="152">
                  <c:v>-0.0051303547694510065</c:v>
                </c:pt>
                <c:pt idx="153">
                  <c:v>0.01710441668841889</c:v>
                </c:pt>
                <c:pt idx="154">
                  <c:v>0.025696000711307843</c:v>
                </c:pt>
                <c:pt idx="155">
                  <c:v>0.006925030389357989</c:v>
                </c:pt>
                <c:pt idx="156">
                  <c:v>-0.0029955350679130577</c:v>
                </c:pt>
                <c:pt idx="157">
                  <c:v>0.009184340307282879</c:v>
                </c:pt>
                <c:pt idx="158">
                  <c:v>0.0013437227147476971</c:v>
                </c:pt>
                <c:pt idx="159">
                  <c:v>-0.017850831368680264</c:v>
                </c:pt>
                <c:pt idx="160">
                  <c:v>-0.006513202383824246</c:v>
                </c:pt>
                <c:pt idx="161">
                  <c:v>-0.024832420469381833</c:v>
                </c:pt>
                <c:pt idx="162">
                  <c:v>-0.0010898604203106732</c:v>
                </c:pt>
                <c:pt idx="163">
                  <c:v>0.0312828821686959</c:v>
                </c:pt>
                <c:pt idx="164">
                  <c:v>-0.0009648378993081241</c:v>
                </c:pt>
                <c:pt idx="165">
                  <c:v>0.013695288749278722</c:v>
                </c:pt>
                <c:pt idx="166">
                  <c:v>-0.04481901218192885</c:v>
                </c:pt>
                <c:pt idx="167">
                  <c:v>0.03957546947611612</c:v>
                </c:pt>
                <c:pt idx="168">
                  <c:v>0.005439536624768371</c:v>
                </c:pt>
                <c:pt idx="169">
                  <c:v>0.008231750927321091</c:v>
                </c:pt>
                <c:pt idx="170">
                  <c:v>0.01980596336159146</c:v>
                </c:pt>
                <c:pt idx="171">
                  <c:v>0.012507313243115936</c:v>
                </c:pt>
                <c:pt idx="172">
                  <c:v>0.015774634102270646</c:v>
                </c:pt>
                <c:pt idx="173">
                  <c:v>-0.003959775940053145</c:v>
                </c:pt>
                <c:pt idx="174">
                  <c:v>-0.016478773672656932</c:v>
                </c:pt>
                <c:pt idx="175">
                  <c:v>0.0589730688769432</c:v>
                </c:pt>
                <c:pt idx="176">
                  <c:v>-0.005983638766834609</c:v>
                </c:pt>
                <c:pt idx="177">
                  <c:v>0.029501716051822946</c:v>
                </c:pt>
                <c:pt idx="178">
                  <c:v>-0.003686327077747964</c:v>
                </c:pt>
                <c:pt idx="179">
                  <c:v>0.011222530552752685</c:v>
                </c:pt>
                <c:pt idx="180">
                  <c:v>-0.0012265644760595107</c:v>
                </c:pt>
                <c:pt idx="181">
                  <c:v>-0.0135746920282942</c:v>
                </c:pt>
                <c:pt idx="182">
                  <c:v>0.007515544551669695</c:v>
                </c:pt>
                <c:pt idx="183">
                  <c:v>0.0071365989367533356</c:v>
                </c:pt>
                <c:pt idx="184">
                  <c:v>-0.014352284286830885</c:v>
                </c:pt>
                <c:pt idx="185">
                  <c:v>0.025505961119540732</c:v>
                </c:pt>
                <c:pt idx="186">
                  <c:v>-0.004824474176890581</c:v>
                </c:pt>
                <c:pt idx="187">
                  <c:v>-0.0013041336039223417</c:v>
                </c:pt>
                <c:pt idx="188">
                  <c:v>0.007065662707756548</c:v>
                </c:pt>
                <c:pt idx="189">
                  <c:v>-0.0031568976414908523</c:v>
                </c:pt>
                <c:pt idx="190">
                  <c:v>-0.012464817048652987</c:v>
                </c:pt>
                <c:pt idx="191">
                  <c:v>-0.003464392104457259</c:v>
                </c:pt>
                <c:pt idx="192">
                  <c:v>-0.07081033606710518</c:v>
                </c:pt>
                <c:pt idx="193">
                  <c:v>-0.026249673499837534</c:v>
                </c:pt>
                <c:pt idx="194">
                  <c:v>0.010554043883517661</c:v>
                </c:pt>
                <c:pt idx="195">
                  <c:v>-0.015009767806912544</c:v>
                </c:pt>
                <c:pt idx="196">
                  <c:v>-0.10333482616290457</c:v>
                </c:pt>
                <c:pt idx="197">
                  <c:v>0.025693028525467065</c:v>
                </c:pt>
                <c:pt idx="198">
                  <c:v>-0.018944647984113994</c:v>
                </c:pt>
                <c:pt idx="199">
                  <c:v>0.04425058283823424</c:v>
                </c:pt>
                <c:pt idx="200">
                  <c:v>0.033677716985363926</c:v>
                </c:pt>
                <c:pt idx="201">
                  <c:v>0.0006867639681817916</c:v>
                </c:pt>
                <c:pt idx="202">
                  <c:v>0.06350295702614472</c:v>
                </c:pt>
                <c:pt idx="203">
                  <c:v>-0.044371371281498706</c:v>
                </c:pt>
                <c:pt idx="204">
                  <c:v>0.019479273911630735</c:v>
                </c:pt>
                <c:pt idx="205">
                  <c:v>0.011700015743375314</c:v>
                </c:pt>
                <c:pt idx="206">
                  <c:v>-0.018379422637527676</c:v>
                </c:pt>
                <c:pt idx="207">
                  <c:v>0.00011599515140248151</c:v>
                </c:pt>
                <c:pt idx="208">
                  <c:v>0.017977163203646507</c:v>
                </c:pt>
                <c:pt idx="209">
                  <c:v>0.014619566558999653</c:v>
                </c:pt>
                <c:pt idx="210">
                  <c:v>0.0019931801423112017</c:v>
                </c:pt>
                <c:pt idx="211">
                  <c:v>0.011367478104623352</c:v>
                </c:pt>
                <c:pt idx="212">
                  <c:v>0.005937507502682626</c:v>
                </c:pt>
                <c:pt idx="213">
                  <c:v>-0.007501542167258957</c:v>
                </c:pt>
                <c:pt idx="214">
                  <c:v>0.013995508710659577</c:v>
                </c:pt>
                <c:pt idx="215">
                  <c:v>0.005306767268428603</c:v>
                </c:pt>
                <c:pt idx="216">
                  <c:v>0.0011123672372461701</c:v>
                </c:pt>
                <c:pt idx="217">
                  <c:v>0.0006797295582663399</c:v>
                </c:pt>
                <c:pt idx="218">
                  <c:v>0.00012498528253024332</c:v>
                </c:pt>
                <c:pt idx="219">
                  <c:v>0.01689807184487835</c:v>
                </c:pt>
                <c:pt idx="220">
                  <c:v>0.009922274624909244</c:v>
                </c:pt>
                <c:pt idx="221">
                  <c:v>0.002015748586947863</c:v>
                </c:pt>
                <c:pt idx="222">
                  <c:v>0.006802445712435379</c:v>
                </c:pt>
                <c:pt idx="223">
                  <c:v>-0.01304622204974104</c:v>
                </c:pt>
                <c:pt idx="224">
                  <c:v>0.011351801339048562</c:v>
                </c:pt>
                <c:pt idx="225">
                  <c:v>0.02310377257705487</c:v>
                </c:pt>
                <c:pt idx="226">
                  <c:v>0.016056667368503863</c:v>
                </c:pt>
                <c:pt idx="227">
                  <c:v>-0.021042487629746476</c:v>
                </c:pt>
                <c:pt idx="228">
                  <c:v>-0.0021408743509828687</c:v>
                </c:pt>
                <c:pt idx="229">
                  <c:v>-0.01035308807627111</c:v>
                </c:pt>
                <c:pt idx="230">
                  <c:v>0.028688238902520702</c:v>
                </c:pt>
                <c:pt idx="231">
                  <c:v>-0.0004201353242325734</c:v>
                </c:pt>
                <c:pt idx="232">
                  <c:v>-0.015054962561733332</c:v>
                </c:pt>
                <c:pt idx="233">
                  <c:v>0.003515413271846457</c:v>
                </c:pt>
                <c:pt idx="234">
                  <c:v>0.00957136341345488</c:v>
                </c:pt>
                <c:pt idx="235">
                  <c:v>-0.007022996705051132</c:v>
                </c:pt>
                <c:pt idx="236">
                  <c:v>0.024363502638353296</c:v>
                </c:pt>
                <c:pt idx="237">
                  <c:v>-0.0006779219521481084</c:v>
                </c:pt>
                <c:pt idx="238">
                  <c:v>-0.020244518223575203</c:v>
                </c:pt>
                <c:pt idx="239">
                  <c:v>-0.003206183158329212</c:v>
                </c:pt>
                <c:pt idx="240">
                  <c:v>0.0035946051836910353</c:v>
                </c:pt>
                <c:pt idx="241">
                  <c:v>-0.0186007896513396</c:v>
                </c:pt>
                <c:pt idx="242">
                  <c:v>0.01888037910147533</c:v>
                </c:pt>
                <c:pt idx="243">
                  <c:v>-0.007550984918488934</c:v>
                </c:pt>
                <c:pt idx="244">
                  <c:v>-0.0015117235882133873</c:v>
                </c:pt>
                <c:pt idx="245">
                  <c:v>-0.0027544702075057437</c:v>
                </c:pt>
                <c:pt idx="246">
                  <c:v>-0.02880083362662078</c:v>
                </c:pt>
                <c:pt idx="247">
                  <c:v>-0.017326829406937083</c:v>
                </c:pt>
                <c:pt idx="248">
                  <c:v>0.031246158629615772</c:v>
                </c:pt>
                <c:pt idx="249">
                  <c:v>0.01949785528850634</c:v>
                </c:pt>
                <c:pt idx="250">
                  <c:v>0.03844421213350846</c:v>
                </c:pt>
                <c:pt idx="251">
                  <c:v>0.012338667615964694</c:v>
                </c:pt>
                <c:pt idx="252">
                  <c:v>0.007443486908066177</c:v>
                </c:pt>
                <c:pt idx="253">
                  <c:v>0.02048029248747474</c:v>
                </c:pt>
                <c:pt idx="254">
                  <c:v>0.013432011874515926</c:v>
                </c:pt>
                <c:pt idx="255">
                  <c:v>0.010420460396599163</c:v>
                </c:pt>
                <c:pt idx="256">
                  <c:v>0.008962889999906798</c:v>
                </c:pt>
                <c:pt idx="257">
                  <c:v>-0.014074031871368797</c:v>
                </c:pt>
                <c:pt idx="258">
                  <c:v>0.002723795571645704</c:v>
                </c:pt>
                <c:pt idx="259">
                  <c:v>0.018983625299247464</c:v>
                </c:pt>
                <c:pt idx="260">
                  <c:v>-0.013082855024724171</c:v>
                </c:pt>
              </c:numCache>
            </c:numRef>
          </c:xVal>
          <c:yVal>
            <c:numRef>
              <c:f>Beta!$R$10:$R$270</c:f>
              <c:numCache>
                <c:formatCode>0.00%</c:formatCode>
                <c:ptCount val="261"/>
                <c:pt idx="0">
                  <c:v>0.02053388090349073</c:v>
                </c:pt>
                <c:pt idx="1">
                  <c:v>0.011784995688416178</c:v>
                </c:pt>
                <c:pt idx="2">
                  <c:v>-0.0008522727272727293</c:v>
                </c:pt>
                <c:pt idx="3">
                  <c:v>0.019050326983224286</c:v>
                </c:pt>
                <c:pt idx="4">
                  <c:v>0.02594866071428581</c:v>
                </c:pt>
                <c:pt idx="5">
                  <c:v>0.020125101985314142</c:v>
                </c:pt>
                <c:pt idx="6">
                  <c:v>0.024260197280725038</c:v>
                </c:pt>
                <c:pt idx="7">
                  <c:v>-0.055179593961478424</c:v>
                </c:pt>
                <c:pt idx="8">
                  <c:v>0.008815426997245135</c:v>
                </c:pt>
                <c:pt idx="9">
                  <c:v>0.006553795740032786</c:v>
                </c:pt>
                <c:pt idx="10">
                  <c:v>0.009224091155724201</c:v>
                </c:pt>
                <c:pt idx="11">
                  <c:v>-0.008602150537634357</c:v>
                </c:pt>
                <c:pt idx="12">
                  <c:v>0.0018980477223426995</c:v>
                </c:pt>
                <c:pt idx="13">
                  <c:v>-0.02706359945872805</c:v>
                </c:pt>
                <c:pt idx="14">
                  <c:v>0.026425591098748313</c:v>
                </c:pt>
                <c:pt idx="15">
                  <c:v>0.04146341463414638</c:v>
                </c:pt>
                <c:pt idx="16">
                  <c:v>-0.002602133749674773</c:v>
                </c:pt>
                <c:pt idx="17">
                  <c:v>0.06965823115053471</c:v>
                </c:pt>
                <c:pt idx="18">
                  <c:v>0.11609756097560986</c:v>
                </c:pt>
                <c:pt idx="19">
                  <c:v>-0.0034965034965035446</c:v>
                </c:pt>
                <c:pt idx="20">
                  <c:v>0.051315789473684204</c:v>
                </c:pt>
                <c:pt idx="21">
                  <c:v>-0.03462661660408839</c:v>
                </c:pt>
                <c:pt idx="22">
                  <c:v>-0.00907519446845284</c:v>
                </c:pt>
                <c:pt idx="23">
                  <c:v>-0.000436109899694781</c:v>
                </c:pt>
                <c:pt idx="24">
                  <c:v>-0.008289703315881192</c:v>
                </c:pt>
                <c:pt idx="25">
                  <c:v>-0.015838099428068686</c:v>
                </c:pt>
                <c:pt idx="26">
                  <c:v>0.016987036209208828</c:v>
                </c:pt>
                <c:pt idx="27">
                  <c:v>-0.010549450549450556</c:v>
                </c:pt>
                <c:pt idx="28">
                  <c:v>-0.05197689915593062</c:v>
                </c:pt>
                <c:pt idx="29">
                  <c:v>-0.027179006560449914</c:v>
                </c:pt>
                <c:pt idx="30">
                  <c:v>-0.03420038535645464</c:v>
                </c:pt>
                <c:pt idx="31">
                  <c:v>-0.0024937655860348684</c:v>
                </c:pt>
                <c:pt idx="32">
                  <c:v>-0.025250000000000106</c:v>
                </c:pt>
                <c:pt idx="33">
                  <c:v>-0.002308284175429498</c:v>
                </c:pt>
                <c:pt idx="34">
                  <c:v>-0.020822622107969257</c:v>
                </c:pt>
                <c:pt idx="35">
                  <c:v>-0.05171961144657389</c:v>
                </c:pt>
                <c:pt idx="36">
                  <c:v>-0.028239202657807327</c:v>
                </c:pt>
                <c:pt idx="37">
                  <c:v>0.07720797720797723</c:v>
                </c:pt>
                <c:pt idx="38">
                  <c:v>0.016133298069293645</c:v>
                </c:pt>
                <c:pt idx="39">
                  <c:v>0.03878188443519015</c:v>
                </c:pt>
                <c:pt idx="40">
                  <c:v>0.01829115509897261</c:v>
                </c:pt>
                <c:pt idx="41">
                  <c:v>0.017716535433071057</c:v>
                </c:pt>
                <c:pt idx="42">
                  <c:v>-0.04714700193423593</c:v>
                </c:pt>
                <c:pt idx="43">
                  <c:v>0.03019538188277071</c:v>
                </c:pt>
                <c:pt idx="44">
                  <c:v>-0.07339901477832511</c:v>
                </c:pt>
                <c:pt idx="45">
                  <c:v>-0.006379585326953707</c:v>
                </c:pt>
                <c:pt idx="46">
                  <c:v>-0.0401284109149278</c:v>
                </c:pt>
                <c:pt idx="47">
                  <c:v>0.04347826086956519</c:v>
                </c:pt>
                <c:pt idx="48">
                  <c:v>-0.05074786324786329</c:v>
                </c:pt>
                <c:pt idx="49">
                  <c:v>-0.022791221159257136</c:v>
                </c:pt>
                <c:pt idx="50">
                  <c:v>-0.03656780881082633</c:v>
                </c:pt>
                <c:pt idx="51">
                  <c:v>0.07411835026897773</c:v>
                </c:pt>
                <c:pt idx="52">
                  <c:v>-0.011407902058987118</c:v>
                </c:pt>
                <c:pt idx="53">
                  <c:v>0.07345904869124675</c:v>
                </c:pt>
                <c:pt idx="54">
                  <c:v>0.012323020450970334</c:v>
                </c:pt>
                <c:pt idx="55">
                  <c:v>0.022792022792022637</c:v>
                </c:pt>
                <c:pt idx="56">
                  <c:v>0.044315016459863354</c:v>
                </c:pt>
                <c:pt idx="57">
                  <c:v>0.009214354995150442</c:v>
                </c:pt>
                <c:pt idx="58">
                  <c:v>0.004324843825084024</c:v>
                </c:pt>
                <c:pt idx="59">
                  <c:v>-0.017703349282296554</c:v>
                </c:pt>
                <c:pt idx="60">
                  <c:v>-0.026546517291768268</c:v>
                </c:pt>
                <c:pt idx="61">
                  <c:v>-0.016012009006755035</c:v>
                </c:pt>
                <c:pt idx="62">
                  <c:v>-0.005593694380879755</c:v>
                </c:pt>
                <c:pt idx="63">
                  <c:v>0.0051137816415238735</c:v>
                </c:pt>
                <c:pt idx="64">
                  <c:v>-0.03256168913762403</c:v>
                </c:pt>
                <c:pt idx="65">
                  <c:v>0.008151459374178271</c:v>
                </c:pt>
                <c:pt idx="66">
                  <c:v>-0.010693792383933087</c:v>
                </c:pt>
                <c:pt idx="67">
                  <c:v>-0.012391247034009956</c:v>
                </c:pt>
                <c:pt idx="68">
                  <c:v>0.015483182060864742</c:v>
                </c:pt>
                <c:pt idx="69">
                  <c:v>0.045741324921135806</c:v>
                </c:pt>
                <c:pt idx="70">
                  <c:v>0.012569130216188995</c:v>
                </c:pt>
                <c:pt idx="71">
                  <c:v>0.04170804369414105</c:v>
                </c:pt>
                <c:pt idx="72">
                  <c:v>-0.007626310772164024</c:v>
                </c:pt>
                <c:pt idx="73">
                  <c:v>0.008645533141210526</c:v>
                </c:pt>
                <c:pt idx="74">
                  <c:v>0.021428571428571352</c:v>
                </c:pt>
                <c:pt idx="75">
                  <c:v>-0.023776223776223793</c:v>
                </c:pt>
                <c:pt idx="76">
                  <c:v>-0.01384909264565426</c:v>
                </c:pt>
                <c:pt idx="77">
                  <c:v>-0.03777239709443103</c:v>
                </c:pt>
                <c:pt idx="78">
                  <c:v>0.007549068948162985</c:v>
                </c:pt>
                <c:pt idx="79">
                  <c:v>0.043456543456543484</c:v>
                </c:pt>
                <c:pt idx="80">
                  <c:v>0.041646720919100044</c:v>
                </c:pt>
                <c:pt idx="81">
                  <c:v>0.022977941176470562</c:v>
                </c:pt>
                <c:pt idx="82">
                  <c:v>0.04537286612758318</c:v>
                </c:pt>
                <c:pt idx="83">
                  <c:v>0.039965620971207594</c:v>
                </c:pt>
                <c:pt idx="84">
                  <c:v>0.0024793388429751317</c:v>
                </c:pt>
                <c:pt idx="85">
                  <c:v>0.02638087386644683</c:v>
                </c:pt>
                <c:pt idx="86">
                  <c:v>-0.016867469879518038</c:v>
                </c:pt>
                <c:pt idx="87">
                  <c:v>0.04738562091503251</c:v>
                </c:pt>
                <c:pt idx="88">
                  <c:v>-0.03120124804992186</c:v>
                </c:pt>
                <c:pt idx="89">
                  <c:v>-0.025764895330112725</c:v>
                </c:pt>
                <c:pt idx="90">
                  <c:v>0.007851239669421473</c:v>
                </c:pt>
                <c:pt idx="91">
                  <c:v>0.022140221402213944</c:v>
                </c:pt>
                <c:pt idx="92">
                  <c:v>-0.0016044925792217946</c:v>
                </c:pt>
                <c:pt idx="93">
                  <c:v>0.04298915226998812</c:v>
                </c:pt>
                <c:pt idx="94">
                  <c:v>-0.028890600924499354</c:v>
                </c:pt>
                <c:pt idx="95">
                  <c:v>0.0007933359777867466</c:v>
                </c:pt>
                <c:pt idx="96">
                  <c:v>0.06817281014665078</c:v>
                </c:pt>
                <c:pt idx="97">
                  <c:v>0.010760667903525034</c:v>
                </c:pt>
                <c:pt idx="98">
                  <c:v>0.01284875183553602</c:v>
                </c:pt>
                <c:pt idx="99">
                  <c:v>-0.015222906850308027</c:v>
                </c:pt>
                <c:pt idx="100">
                  <c:v>0.027235921972764254</c:v>
                </c:pt>
                <c:pt idx="101">
                  <c:v>-0.009673951988534712</c:v>
                </c:pt>
                <c:pt idx="102">
                  <c:v>0.01772793053545607</c:v>
                </c:pt>
                <c:pt idx="103">
                  <c:v>0.004621400639886364</c:v>
                </c:pt>
                <c:pt idx="104">
                  <c:v>0.05980184005661715</c:v>
                </c:pt>
                <c:pt idx="105">
                  <c:v>-0.03772954924874794</c:v>
                </c:pt>
                <c:pt idx="106">
                  <c:v>0.016308119361554407</c:v>
                </c:pt>
                <c:pt idx="107">
                  <c:v>-0.021167634004779723</c:v>
                </c:pt>
                <c:pt idx="108">
                  <c:v>0.01918381583536788</c:v>
                </c:pt>
                <c:pt idx="109">
                  <c:v>-0.02327173169062291</c:v>
                </c:pt>
                <c:pt idx="110">
                  <c:v>-0.0007007708479327412</c:v>
                </c:pt>
                <c:pt idx="111">
                  <c:v>-0.019635343618513157</c:v>
                </c:pt>
                <c:pt idx="112">
                  <c:v>0.025751072961373245</c:v>
                </c:pt>
                <c:pt idx="113">
                  <c:v>-0.009065550906555142</c:v>
                </c:pt>
                <c:pt idx="114">
                  <c:v>-0.01724137931034475</c:v>
                </c:pt>
                <c:pt idx="115">
                  <c:v>0.016827783745076985</c:v>
                </c:pt>
                <c:pt idx="116">
                  <c:v>-0.03873239436619713</c:v>
                </c:pt>
                <c:pt idx="117">
                  <c:v>0.024542124542124455</c:v>
                </c:pt>
                <c:pt idx="118">
                  <c:v>0.02323918484090104</c:v>
                </c:pt>
                <c:pt idx="119">
                  <c:v>0.03843466107617055</c:v>
                </c:pt>
                <c:pt idx="120">
                  <c:v>-0.043068640646029666</c:v>
                </c:pt>
                <c:pt idx="121">
                  <c:v>-0.006329113924050445</c:v>
                </c:pt>
                <c:pt idx="122">
                  <c:v>0.09235668789808904</c:v>
                </c:pt>
                <c:pt idx="123">
                  <c:v>0.0194363459669582</c:v>
                </c:pt>
                <c:pt idx="124">
                  <c:v>0.04734667937718462</c:v>
                </c:pt>
                <c:pt idx="125">
                  <c:v>0.01941747572815533</c:v>
                </c:pt>
                <c:pt idx="126">
                  <c:v>-0.021428571428571352</c:v>
                </c:pt>
                <c:pt idx="127">
                  <c:v>0.03619221411192197</c:v>
                </c:pt>
                <c:pt idx="128">
                  <c:v>-0.038743762841209284</c:v>
                </c:pt>
                <c:pt idx="129">
                  <c:v>-0.06900763358778628</c:v>
                </c:pt>
                <c:pt idx="130">
                  <c:v>0.0009839291571007713</c:v>
                </c:pt>
                <c:pt idx="131">
                  <c:v>0.001310615989515096</c:v>
                </c:pt>
                <c:pt idx="132">
                  <c:v>0.04482984293193715</c:v>
                </c:pt>
                <c:pt idx="133">
                  <c:v>0.0006263701847790681</c:v>
                </c:pt>
                <c:pt idx="134">
                  <c:v>-0.019718309859155014</c:v>
                </c:pt>
                <c:pt idx="135">
                  <c:v>0.10951468710089407</c:v>
                </c:pt>
                <c:pt idx="136">
                  <c:v>0.04287769784172646</c:v>
                </c:pt>
                <c:pt idx="137">
                  <c:v>0.0016556291390728006</c:v>
                </c:pt>
                <c:pt idx="138">
                  <c:v>0.06336088154269981</c:v>
                </c:pt>
                <c:pt idx="139">
                  <c:v>0.016321243523315987</c:v>
                </c:pt>
                <c:pt idx="140">
                  <c:v>-0.012745347947998975</c:v>
                </c:pt>
                <c:pt idx="141">
                  <c:v>0.0023237800154918276</c:v>
                </c:pt>
                <c:pt idx="142">
                  <c:v>0.034260690365790936</c:v>
                </c:pt>
                <c:pt idx="143">
                  <c:v>0.0062266500622665255</c:v>
                </c:pt>
                <c:pt idx="144">
                  <c:v>-0.04084158415841588</c:v>
                </c:pt>
                <c:pt idx="145">
                  <c:v>0.00025806451612919723</c:v>
                </c:pt>
                <c:pt idx="146">
                  <c:v>-0.0010319917440660964</c:v>
                </c:pt>
                <c:pt idx="147">
                  <c:v>0.018853305785123897</c:v>
                </c:pt>
                <c:pt idx="148">
                  <c:v>0.011660329531052005</c:v>
                </c:pt>
                <c:pt idx="149">
                  <c:v>-0.06163868704585318</c:v>
                </c:pt>
                <c:pt idx="150">
                  <c:v>0.036582109479305736</c:v>
                </c:pt>
                <c:pt idx="151">
                  <c:v>-0.010561566202988093</c:v>
                </c:pt>
                <c:pt idx="152">
                  <c:v>-0.017443374121322686</c:v>
                </c:pt>
                <c:pt idx="153">
                  <c:v>0.014308426073132097</c:v>
                </c:pt>
                <c:pt idx="154">
                  <c:v>-0.008098223615465083</c:v>
                </c:pt>
                <c:pt idx="155">
                  <c:v>0.01685541216750064</c:v>
                </c:pt>
                <c:pt idx="156">
                  <c:v>-0.013986013986014068</c:v>
                </c:pt>
                <c:pt idx="157">
                  <c:v>0.01891252955082745</c:v>
                </c:pt>
                <c:pt idx="158">
                  <c:v>0.02706883217324063</c:v>
                </c:pt>
                <c:pt idx="159">
                  <c:v>-0.0368975903614458</c:v>
                </c:pt>
                <c:pt idx="160">
                  <c:v>-0.00833984884023975</c:v>
                </c:pt>
                <c:pt idx="161">
                  <c:v>0.03232588699080163</c:v>
                </c:pt>
                <c:pt idx="162">
                  <c:v>-0.01807535641547864</c:v>
                </c:pt>
                <c:pt idx="163">
                  <c:v>0.0850401866735806</c:v>
                </c:pt>
                <c:pt idx="164">
                  <c:v>0.029868578255675127</c:v>
                </c:pt>
                <c:pt idx="165">
                  <c:v>0.037587006960556835</c:v>
                </c:pt>
                <c:pt idx="166">
                  <c:v>-0.048971377459749554</c:v>
                </c:pt>
                <c:pt idx="167">
                  <c:v>0.0002351281448389475</c:v>
                </c:pt>
                <c:pt idx="168">
                  <c:v>-0.012458862247296532</c:v>
                </c:pt>
                <c:pt idx="169">
                  <c:v>0.011187812425612842</c:v>
                </c:pt>
                <c:pt idx="170">
                  <c:v>-0.03578154425612046</c:v>
                </c:pt>
                <c:pt idx="171">
                  <c:v>0.0419921875</c:v>
                </c:pt>
                <c:pt idx="172">
                  <c:v>0.038659793814433074</c:v>
                </c:pt>
                <c:pt idx="173">
                  <c:v>0.015339499210466956</c:v>
                </c:pt>
                <c:pt idx="174">
                  <c:v>-0.01955121084203515</c:v>
                </c:pt>
                <c:pt idx="175">
                  <c:v>-0.04441423068207573</c:v>
                </c:pt>
                <c:pt idx="176">
                  <c:v>-0.025373488261797417</c:v>
                </c:pt>
                <c:pt idx="177">
                  <c:v>0.01751824817518255</c:v>
                </c:pt>
                <c:pt idx="178">
                  <c:v>-0.015542802486848362</c:v>
                </c:pt>
                <c:pt idx="179">
                  <c:v>0.05003643429681803</c:v>
                </c:pt>
                <c:pt idx="180">
                  <c:v>-0.0018505667360629863</c:v>
                </c:pt>
                <c:pt idx="181">
                  <c:v>-0.04611819235225956</c:v>
                </c:pt>
                <c:pt idx="182">
                  <c:v>0.007774538386783325</c:v>
                </c:pt>
                <c:pt idx="183">
                  <c:v>-0.022902603664416543</c:v>
                </c:pt>
                <c:pt idx="184">
                  <c:v>0.032568467801628476</c:v>
                </c:pt>
                <c:pt idx="185">
                  <c:v>0.013859020310633241</c:v>
                </c:pt>
                <c:pt idx="186">
                  <c:v>-0.03134574593448036</c:v>
                </c:pt>
                <c:pt idx="187">
                  <c:v>0.013625304136253069</c:v>
                </c:pt>
                <c:pt idx="188">
                  <c:v>0.04416706673067683</c:v>
                </c:pt>
                <c:pt idx="189">
                  <c:v>0.10275862068965513</c:v>
                </c:pt>
                <c:pt idx="190">
                  <c:v>0.00500312695434646</c:v>
                </c:pt>
                <c:pt idx="191">
                  <c:v>-0.06658369632856254</c:v>
                </c:pt>
                <c:pt idx="192">
                  <c:v>-0.08377777777777773</c:v>
                </c:pt>
                <c:pt idx="193">
                  <c:v>0.00024254183846705857</c:v>
                </c:pt>
                <c:pt idx="194">
                  <c:v>-0.02133850630455858</c:v>
                </c:pt>
                <c:pt idx="195">
                  <c:v>-0.0049554013875123815</c:v>
                </c:pt>
                <c:pt idx="196">
                  <c:v>-0.03535856573705187</c:v>
                </c:pt>
                <c:pt idx="197">
                  <c:v>-0.04439855446566854</c:v>
                </c:pt>
                <c:pt idx="198">
                  <c:v>0.04267963263101038</c:v>
                </c:pt>
                <c:pt idx="199">
                  <c:v>0.040932642487046644</c:v>
                </c:pt>
                <c:pt idx="200">
                  <c:v>0.020657043305126965</c:v>
                </c:pt>
                <c:pt idx="201">
                  <c:v>0.05608388198000491</c:v>
                </c:pt>
                <c:pt idx="202">
                  <c:v>0.03070884322327405</c:v>
                </c:pt>
                <c:pt idx="203">
                  <c:v>-0.05757168458781359</c:v>
                </c:pt>
                <c:pt idx="204">
                  <c:v>0.0016638935108153063</c:v>
                </c:pt>
                <c:pt idx="205">
                  <c:v>0.007831039392501182</c:v>
                </c:pt>
                <c:pt idx="206">
                  <c:v>-0.05462679538497761</c:v>
                </c:pt>
                <c:pt idx="207">
                  <c:v>-0.007222914072229081</c:v>
                </c:pt>
                <c:pt idx="208">
                  <c:v>0.05368790767686904</c:v>
                </c:pt>
                <c:pt idx="209">
                  <c:v>-0.026666666666666616</c:v>
                </c:pt>
                <c:pt idx="210">
                  <c:v>0.03131115459882583</c:v>
                </c:pt>
                <c:pt idx="211">
                  <c:v>0.035341555977229655</c:v>
                </c:pt>
                <c:pt idx="212">
                  <c:v>0.010080183276059529</c:v>
                </c:pt>
                <c:pt idx="213">
                  <c:v>-0.13971422091177133</c:v>
                </c:pt>
                <c:pt idx="214">
                  <c:v>0.0031637226469811708</c:v>
                </c:pt>
                <c:pt idx="215">
                  <c:v>0.0446780551905388</c:v>
                </c:pt>
                <c:pt idx="216">
                  <c:v>0.016603773584905612</c:v>
                </c:pt>
                <c:pt idx="217">
                  <c:v>0.006434050977480732</c:v>
                </c:pt>
                <c:pt idx="218">
                  <c:v>0.028768133759527803</c:v>
                </c:pt>
                <c:pt idx="219">
                  <c:v>-0.026529636711280946</c:v>
                </c:pt>
                <c:pt idx="220">
                  <c:v>0.0004910385465257683</c:v>
                </c:pt>
                <c:pt idx="221">
                  <c:v>-0.003926380368098226</c:v>
                </c:pt>
                <c:pt idx="222">
                  <c:v>0.05173688100517371</c:v>
                </c:pt>
                <c:pt idx="223">
                  <c:v>-0.19372218318107282</c:v>
                </c:pt>
                <c:pt idx="224">
                  <c:v>-0.010749564206856466</c:v>
                </c:pt>
                <c:pt idx="225">
                  <c:v>0.0393538913362701</c:v>
                </c:pt>
                <c:pt idx="226">
                  <c:v>-0.020909861542808605</c:v>
                </c:pt>
                <c:pt idx="227">
                  <c:v>0.01558441558441559</c:v>
                </c:pt>
                <c:pt idx="228">
                  <c:v>0.023017902813299296</c:v>
                </c:pt>
                <c:pt idx="229">
                  <c:v>-0.06333333333333335</c:v>
                </c:pt>
                <c:pt idx="230">
                  <c:v>0.001779359430605032</c:v>
                </c:pt>
                <c:pt idx="231">
                  <c:v>0.007696862048549358</c:v>
                </c:pt>
                <c:pt idx="232">
                  <c:v>-0.0799059929494712</c:v>
                </c:pt>
                <c:pt idx="233">
                  <c:v>0.03065134099616862</c:v>
                </c:pt>
                <c:pt idx="234">
                  <c:v>-0.008983890954151308</c:v>
                </c:pt>
                <c:pt idx="235">
                  <c:v>-0.01125351672397612</c:v>
                </c:pt>
                <c:pt idx="236">
                  <c:v>0.029718621561808378</c:v>
                </c:pt>
                <c:pt idx="237">
                  <c:v>-0.07859993859379788</c:v>
                </c:pt>
                <c:pt idx="238">
                  <c:v>-0.05264911696101304</c:v>
                </c:pt>
                <c:pt idx="239">
                  <c:v>-0.012310939148786448</c:v>
                </c:pt>
                <c:pt idx="240">
                  <c:v>0.0007122507122505617</c:v>
                </c:pt>
                <c:pt idx="241">
                  <c:v>0.1469750889679715</c:v>
                </c:pt>
                <c:pt idx="242">
                  <c:v>-0.04064536146447417</c:v>
                </c:pt>
                <c:pt idx="243">
                  <c:v>0.03945666235446299</c:v>
                </c:pt>
                <c:pt idx="244">
                  <c:v>-0.0616054760423147</c:v>
                </c:pt>
                <c:pt idx="245">
                  <c:v>-0.0411140583554378</c:v>
                </c:pt>
                <c:pt idx="246">
                  <c:v>-0.053250345781466035</c:v>
                </c:pt>
                <c:pt idx="247">
                  <c:v>0.016435354273192093</c:v>
                </c:pt>
                <c:pt idx="248">
                  <c:v>0.06180380883938197</c:v>
                </c:pt>
                <c:pt idx="249">
                  <c:v>0.020812182741116736</c:v>
                </c:pt>
                <c:pt idx="250">
                  <c:v>0.06447870048068971</c:v>
                </c:pt>
                <c:pt idx="251">
                  <c:v>-0.06711304889442549</c:v>
                </c:pt>
                <c:pt idx="252">
                  <c:v>-0.020697713236521365</c:v>
                </c:pt>
                <c:pt idx="253">
                  <c:v>-0.013124254303732874</c:v>
                </c:pt>
                <c:pt idx="254">
                  <c:v>-0.03488773747841112</c:v>
                </c:pt>
                <c:pt idx="255">
                  <c:v>0.07927702219040822</c:v>
                </c:pt>
                <c:pt idx="256">
                  <c:v>-0.0210578676836346</c:v>
                </c:pt>
                <c:pt idx="257">
                  <c:v>0.017615176151761558</c:v>
                </c:pt>
                <c:pt idx="258">
                  <c:v>0.021471371504660608</c:v>
                </c:pt>
                <c:pt idx="259">
                  <c:v>0.0021182988430827887</c:v>
                </c:pt>
                <c:pt idx="260">
                  <c:v>0.047642276422764196</c:v>
                </c:pt>
              </c:numCache>
            </c:numRef>
          </c:yVal>
        </c:ser>
        <c:dLbls>
          <c:showLegendKey val="0"/>
          <c:showVal val="0"/>
          <c:showCatName val="0"/>
          <c:showSerName val="0"/>
          <c:showPercent val="0"/>
          <c:showBubbleSize val="0"/>
        </c:dLbls>
        <c:axId val="40671558"/>
        <c:axId val="25936877"/>
      </c:scatterChart>
      <c:valAx>
        <c:axId val="25936877"/>
        <c:scaling>
          <c:orientation val="minMax"/>
        </c:scaling>
        <c:delete val="0"/>
        <c:axPos val="l"/>
        <c:majorGridlines>
          <c:spPr>
            <a:ln xmlns:a="http://schemas.openxmlformats.org/drawingml/2006/main" w="0">
              <a:solidFill>
                <a:srgbClr val="B3B3B3"/>
              </a:solidFill>
            </a:ln>
          </c:spPr>
        </c:majorGridlines>
        <c:title>
          <c:tx>
            <c:rich>
              <a:bodyPr xmlns:a="http://schemas.openxmlformats.org/drawingml/2006/main"/>
              <a:lstStyle xmlns:a="http://schemas.openxmlformats.org/drawingml/2006/main"/>
              <a:p xmlns:a="http://schemas.openxmlformats.org/drawingml/2006/main">
                <a:r>
                  <a:rPr sz="1000" b="1" spc="-1">
                    <a:solidFill>
                      <a:srgbClr val="000000"/>
                    </a:solidFill>
                    <a:latin typeface="Aptos Narrow"/>
                    <a:ea typeface="Aptos Narrow"/>
                    <a:cs typeface="Aptos Narrow"/>
                  </a:rPr>
                  <a:t>Ferrari weekly return</a:t>
                </a:r>
              </a:p>
            </c:rich>
          </c:tx>
          <c:layout>
            <c:manualLayout>
              <c:xMode val="edge"/>
              <c:yMode val="edge"/>
              <c:x val="0.01621621794171291"/>
              <c:y val="0.28458156202763213"/>
            </c:manualLayout>
          </c:layout>
          <c:overlay val="0"/>
          <c:txPr>
            <a:bodyPr xmlns:a="http://schemas.openxmlformats.org/drawingml/2006/main" anchorCtr="1"/>
            <a:lstStyle xmlns:a="http://schemas.openxmlformats.org/drawingml/2006/main"/>
            <a:p xmlns:a="http://schemas.openxmlformats.org/drawingml/2006/main">
              <a:pPr>
                <a:defRPr sz="1000" b="1" spc="-1">
                  <a:solidFill>
                    <a:srgbClr val="000000"/>
                  </a:solidFill>
                  <a:latin typeface="Aptos Narrow"/>
                  <a:ea typeface="Aptos Narrow"/>
                  <a:cs typeface="Aptos Narrow"/>
                </a:defRPr>
              </a:pPr>
            </a:p>
          </c:txPr>
        </c:title>
        <c:numFmt formatCode="0%" sourceLinked="0"/>
        <c:majorTickMark val="none"/>
        <c:minorTickMark val="none"/>
        <c:tickLblPos val="nextTo"/>
        <c:spPr>
          <a:ln xmlns:a="http://schemas.openxmlformats.org/drawingml/2006/main" w="0">
            <a:solidFill>
              <a:srgbClr val="B3B3B3"/>
            </a:solidFill>
          </a:ln>
        </c:spPr>
        <c:txPr>
          <a:bodyPr xmlns:a="http://schemas.openxmlformats.org/drawingml/2006/main" anchorCtr="1"/>
          <a:lstStyle xmlns:a="http://schemas.openxmlformats.org/drawingml/2006/main"/>
          <a:p xmlns:a="http://schemas.openxmlformats.org/drawingml/2006/main">
            <a:pPr>
              <a:defRPr sz="1000" b="0" spc="-1">
                <a:solidFill>
                  <a:srgbClr val="000000"/>
                </a:solidFill>
                <a:latin typeface="Aptos Narrow"/>
                <a:ea typeface="Aptos Narrow"/>
                <a:cs typeface="Aptos Narrow"/>
              </a:defRPr>
            </a:pPr>
          </a:p>
        </c:txPr>
        <c:crossAx val="40671558"/>
        <c:crosses val="autoZero"/>
        <c:crossBetween val="midCat"/>
      </c:valAx>
      <c:valAx>
        <c:axId val="40671558"/>
        <c:scaling>
          <c:orientation val="minMax"/>
        </c:scaling>
        <c:delete val="0"/>
        <c:axPos val="b"/>
        <c:majorGridlines>
          <c:spPr>
            <a:ln xmlns:a="http://schemas.openxmlformats.org/drawingml/2006/main" w="0">
              <a:solidFill>
                <a:srgbClr val="B3B3B3"/>
              </a:solidFill>
            </a:ln>
          </c:spPr>
        </c:majorGridlines>
        <c:title>
          <c:tx>
            <c:rich>
              <a:bodyPr xmlns:a="http://schemas.openxmlformats.org/drawingml/2006/main"/>
              <a:lstStyle xmlns:a="http://schemas.openxmlformats.org/drawingml/2006/main"/>
              <a:p xmlns:a="http://schemas.openxmlformats.org/drawingml/2006/main">
                <a:r>
                  <a:rPr sz="1000" b="1" spc="-1">
                    <a:solidFill>
                      <a:srgbClr val="000000"/>
                    </a:solidFill>
                    <a:latin typeface="Aptos Narrow"/>
                    <a:ea typeface="Aptos Narrow"/>
                    <a:cs typeface="Aptos Narrow"/>
                  </a:rPr>
                  <a:t>S&amp;P 500 weekly return</a:t>
                </a:r>
              </a:p>
            </c:rich>
          </c:tx>
          <c:overlay val="0"/>
          <c:txPr>
            <a:bodyPr xmlns:a="http://schemas.openxmlformats.org/drawingml/2006/main" anchorCtr="1"/>
            <a:lstStyle xmlns:a="http://schemas.openxmlformats.org/drawingml/2006/main"/>
            <a:p xmlns:a="http://schemas.openxmlformats.org/drawingml/2006/main">
              <a:pPr>
                <a:defRPr sz="1000" b="1" spc="-1">
                  <a:solidFill>
                    <a:srgbClr val="000000"/>
                  </a:solidFill>
                  <a:latin typeface="Aptos Narrow"/>
                  <a:ea typeface="Aptos Narrow"/>
                  <a:cs typeface="Aptos Narrow"/>
                </a:defRPr>
              </a:pPr>
            </a:p>
          </c:txPr>
        </c:title>
        <c:numFmt formatCode="0%" sourceLinked="0"/>
        <c:majorTickMark val="none"/>
        <c:minorTickMark val="none"/>
        <c:tickLblPos val="nextTo"/>
        <c:spPr>
          <a:ln xmlns:a="http://schemas.openxmlformats.org/drawingml/2006/main" w="0">
            <a:solidFill>
              <a:srgbClr val="B3B3B3"/>
            </a:solidFill>
          </a:ln>
        </c:spPr>
        <c:txPr>
          <a:bodyPr xmlns:a="http://schemas.openxmlformats.org/drawingml/2006/main" anchorCtr="1"/>
          <a:lstStyle xmlns:a="http://schemas.openxmlformats.org/drawingml/2006/main"/>
          <a:p xmlns:a="http://schemas.openxmlformats.org/drawingml/2006/main">
            <a:pPr>
              <a:defRPr sz="1000" b="0" spc="-1">
                <a:solidFill>
                  <a:srgbClr val="000000"/>
                </a:solidFill>
                <a:latin typeface="Aptos Narrow"/>
                <a:ea typeface="Aptos Narrow"/>
                <a:cs typeface="Aptos Narrow"/>
              </a:defRPr>
            </a:pPr>
          </a:p>
        </c:txPr>
        <c:crossAx val="25936877"/>
        <c:crosses val="autoZero"/>
        <c:crossBetween val="midCat"/>
      </c:valAx>
      <c:spPr>
        <a:noFill xmlns:a="http://schemas.openxmlformats.org/drawingml/2006/main"/>
        <a:ln xmlns:a="http://schemas.openxmlformats.org/drawingml/2006/main" w="0">
          <a:noFill/>
        </a:ln>
      </c:spPr>
    </c:plotArea>
    <c:plotVisOnly val="1"/>
  </c:chart>
  <c:spPr>
    <a:solidFill xmlns:a="http://schemas.openxmlformats.org/drawingml/2006/main">
      <a:srgbClr val="FFFFFF"/>
    </a:solidFill>
    <a:ln xmlns:a="http://schemas.openxmlformats.org/drawingml/2006/main" w="9360">
      <a:solidFill>
        <a:srgbClr val="D9D9D9"/>
      </a:solidFill>
    </a:ln>
  </c:spPr>
</c:chartSpace>
</file>

<file path=xl/drawings/charts/chart10.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autoTitleDeleted val="1"/>
    <c:plotArea>
      <c:barChart>
        <c:barDir val="col"/>
        <c:grouping val="clustered"/>
        <c:varyColors val="0"/>
        <c:ser>
          <c:idx val="0"/>
          <c:order val="0"/>
          <c:tx>
            <c:strRef>
              <c:f>OTHER!$AK$18</c:f>
              <c:strCache>
                <c:ptCount val="1"/>
                <c:pt idx="0">
                  <c:v/>
                </c:pt>
              </c:strCache>
            </c:strRef>
          </c:tx>
          <c:spPr>
            <a:solidFill xmlns:a="http://schemas.openxmlformats.org/drawingml/2006/main">
              <a:schemeClr val="accent1"/>
            </a:solidFill>
            <a:ln xmlns:a="http://schemas.openxmlformats.org/drawingml/2006/main" w="327025">
              <a:noFill/>
            </a:ln>
          </c:spPr>
          <c:dPt>
            <c:idx val="0"/>
            <c:invertIfNegative val="0"/>
            <c:spPr>
              <a:solidFill xmlns:a="http://schemas.openxmlformats.org/drawingml/2006/main">
                <a:schemeClr val="tx1">
                  <a:lumMod val="65000"/>
                  <a:lumOff val="35000"/>
                </a:schemeClr>
              </a:solidFill>
              <a:ln xmlns:a="http://schemas.openxmlformats.org/drawingml/2006/main" w="327025">
                <a:noFill/>
              </a:ln>
            </c:spPr>
          </c:dPt>
          <c:dPt>
            <c:idx val="1"/>
            <c:invertIfNegative val="0"/>
            <c:spPr>
              <a:solidFill xmlns:a="http://schemas.openxmlformats.org/drawingml/2006/main">
                <a:schemeClr val="tx1">
                  <a:lumMod val="65000"/>
                  <a:lumOff val="35000"/>
                </a:schemeClr>
              </a:solidFill>
              <a:ln xmlns:a="http://schemas.openxmlformats.org/drawingml/2006/main" w="327025">
                <a:noFill/>
              </a:ln>
            </c:spPr>
          </c:dPt>
          <c:dPt>
            <c:idx val="2"/>
            <c:invertIfNegative val="0"/>
            <c:spPr>
              <a:solidFill xmlns:a="http://schemas.openxmlformats.org/drawingml/2006/main">
                <a:srgbClr val="C00000"/>
              </a:solidFill>
              <a:ln xmlns:a="http://schemas.openxmlformats.org/drawingml/2006/main" w="327025">
                <a:noFill/>
              </a:ln>
            </c:spPr>
          </c:dPt>
          <c:dPt>
            <c:idx val="3"/>
            <c:invertIfNegative val="0"/>
            <c:spPr>
              <a:solidFill xmlns:a="http://schemas.openxmlformats.org/drawingml/2006/main">
                <a:schemeClr val="tx1">
                  <a:lumMod val="65000"/>
                  <a:lumOff val="35000"/>
                </a:schemeClr>
              </a:solidFill>
              <a:ln xmlns:a="http://schemas.openxmlformats.org/drawingml/2006/main" w="327025">
                <a:noFill/>
              </a:ln>
            </c:spPr>
          </c:dPt>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i="0" u="none">
                    <a:solidFill>
                      <a:schemeClr val="bg1"/>
                    </a:solidFill>
                    <a:latin typeface="+mn-lt"/>
                    <a:ea typeface="+mn-lt"/>
                    <a:cs typeface="+mn-lt"/>
                  </a:defRPr>
                </a:pPr>
              </a:p>
            </c:txPr>
            <c:dLblPos val="inEnd"/>
            <c:showLegendKey val="0"/>
            <c:showVal val="1"/>
            <c:showCatName val="0"/>
            <c:showSerName val="0"/>
            <c:showPercent val="0"/>
            <c:showBubbleSize val="0"/>
            <c:showLeaderLines val="0"/>
          </c:dLbls>
          <c:cat>
            <c:strRef>
              <c:f>OTHER!$AJ$19:$AJ$22</c:f>
              <c:strCache>
                <c:ptCount val="4"/>
                <c:pt idx="0">
                  <c:v>Raw (5-y monthly)</c:v>
                </c:pt>
                <c:pt idx="1">
                  <c:v>Blume-adjusted</c:v>
                </c:pt>
                <c:pt idx="2">
                  <c:v>Peer median (selected)</c:v>
                </c:pt>
                <c:pt idx="3">
                  <c:v>Company regression (blended)</c:v>
                </c:pt>
              </c:strCache>
            </c:strRef>
          </c:cat>
          <c:val>
            <c:numRef>
              <c:f>OTHER!$AK$19:$AK$22</c:f>
              <c:numCache>
                <c:formatCode>0.000</c:formatCode>
                <c:ptCount val="4"/>
                <c:pt idx="0">
                  <c:v>0.59</c:v>
                </c:pt>
                <c:pt idx="1">
                  <c:v>0.7266666666666666</c:v>
                </c:pt>
                <c:pt idx="2">
                  <c:v>0.7408310705464917</c:v>
                </c:pt>
                <c:pt idx="3">
                  <c:v>0.872366253026035</c:v>
                </c:pt>
              </c:numCache>
            </c:numRef>
          </c:val>
        </c:ser>
        <c:dLbls>
          <c:dLblPos val="ctr"/>
          <c:showLegendKey val="0"/>
          <c:showVal val="1"/>
          <c:showCatName val="0"/>
          <c:showSerName val="0"/>
          <c:showPercent val="0"/>
          <c:showBubbleSize val="0"/>
        </c:dLbls>
        <c:gapWidth val="219"/>
        <c:overlap val="-27"/>
        <c:axId val="1734796928"/>
        <c:axId val="1734791104"/>
      </c:barChart>
      <c:catAx>
        <c:axId val="1734796928"/>
        <c:scaling>
          <c:orientation val="minMax"/>
        </c:scaling>
        <c:delete val="0"/>
        <c:axPos val="b"/>
        <c:numFmt formatCode="General" sourceLinked="1"/>
        <c:majorTickMark val="none"/>
        <c:minorTickMark val="none"/>
        <c:tickLblPos val="nextTo"/>
        <c:spPr>
          <a:ln xmlns:a="http://schemas.openxmlformats.org/drawingml/2006/main" w="9525" cmpd="sng">
            <a:solidFill>
              <a:schemeClr val="tx1">
                <a:lumMod val="15000"/>
                <a:lumOff val="85000"/>
              </a:schemeClr>
            </a:solidFill>
          </a:ln>
        </c:spPr>
        <c:txPr>
          <a:bodyPr xmlns:a="http://schemas.openxmlformats.org/drawingml/2006/main" rot="-60000000" spcFirstLastPara="1" vert="horz" wrap="square"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734791104"/>
        <c:crosses val="autoZero"/>
        <c:lblOffset val="100"/>
      </c:catAx>
      <c:valAx>
        <c:axId val="1734791104"/>
        <c:scaling>
          <c:orientation val="minMax"/>
        </c:scaling>
        <c:delete val="0"/>
        <c:axPos val="l"/>
        <c:majorGridlines>
          <c:spPr>
            <a:ln xmlns:a="http://schemas.openxmlformats.org/drawingml/2006/main" w="9525" cmpd="sng">
              <a:solidFill>
                <a:schemeClr val="tx1">
                  <a:lumMod val="15000"/>
                  <a:lumOff val="85000"/>
                </a:schemeClr>
              </a:solidFill>
            </a:ln>
          </c:spPr>
        </c:majorGridlines>
        <c:title>
          <c:tx>
            <c:rich>
              <a:bodyPr xmlns:a="http://schemas.openxmlformats.org/drawingml/2006/main"/>
              <a:lstStyle xmlns:a="http://schemas.openxmlformats.org/drawingml/2006/main"/>
              <a:p xmlns:a="http://schemas.openxmlformats.org/drawingml/2006/main">
                <a:r>
                  <a:rPr sz="1000" b="0" i="0" u="none">
                    <a:solidFill>
                      <a:schemeClr val="tx1">
                        <a:lumMod val="65000"/>
                        <a:lumOff val="35000"/>
                      </a:schemeClr>
                    </a:solidFill>
                    <a:latin typeface="+mn-lt"/>
                    <a:ea typeface="+mn-lt"/>
                    <a:cs typeface="+mn-lt"/>
                  </a:rPr>
                  <a:t>Beta</a:t>
                </a:r>
              </a:p>
            </c:rich>
          </c:tx>
          <c:overlay val="0"/>
          <c:txPr>
            <a:bodyPr xmlns:a="http://schemas.openxmlformats.org/drawingml/2006/main" rot="-5400000" spcFirstLastPara="1" vert="horz" wrap="square" anchor="ctr" anchorCtr="1"/>
            <a:lstStyle xmlns:a="http://schemas.openxmlformats.org/drawingml/2006/main"/>
            <a:p xmlns:a="http://schemas.openxmlformats.org/drawingml/2006/main">
              <a:pPr>
                <a:defRPr sz="1000" b="0" i="0" u="none">
                  <a:solidFill>
                    <a:schemeClr val="tx1">
                      <a:lumMod val="65000"/>
                      <a:lumOff val="35000"/>
                    </a:schemeClr>
                  </a:solidFill>
                  <a:latin typeface="+mn-lt"/>
                  <a:ea typeface="+mn-lt"/>
                  <a:cs typeface="+mn-lt"/>
                </a:defRPr>
              </a:pPr>
            </a:p>
          </c:txPr>
        </c:title>
        <c:numFmt formatCode="0.0" sourceLinked="0"/>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734796928"/>
        <c:crosses val="autoZero"/>
        <c:crossBetween val="between"/>
      </c:valAx>
      <c:spPr>
        <a:noFill xmlns:a="http://schemas.openxmlformats.org/drawingml/2006/main"/>
        <a:ln xmlns:a="http://schemas.openxmlformats.org/drawingml/2006/main">
          <a:noFill/>
        </a:ln>
      </c:spPr>
    </c:plotArea>
    <c:plotVisOnly val="1"/>
  </c:chart>
  <c:spPr>
    <a:solidFill xmlns:a="http://schemas.openxmlformats.org/drawingml/2006/main">
      <a:schemeClr val="bg1"/>
    </a:solidFill>
    <a:ln xmlns:a="http://schemas.openxmlformats.org/drawingml/2006/main" w="9525" cmpd="sng">
      <a:solidFill>
        <a:schemeClr val="tx1">
          <a:lumMod val="15000"/>
          <a:lumOff val="85000"/>
        </a:schemeClr>
      </a:solidFill>
    </a:ln>
  </c:spPr>
</c:chartSpace>
</file>

<file path=xl/drawings/charts/chart2.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title>
      <c:tx>
        <c:rich>
          <a:bodyPr xmlns:a="http://schemas.openxmlformats.org/drawingml/2006/main"/>
          <a:lstStyle xmlns:a="http://schemas.openxmlformats.org/drawingml/2006/main"/>
          <a:p xmlns:a="http://schemas.openxmlformats.org/drawingml/2006/main">
            <a:r>
              <a:rPr sz="1800" b="1" spc="-1">
                <a:solidFill>
                  <a:srgbClr val="000000"/>
                </a:solidFill>
                <a:latin typeface="Aptos Narrow"/>
                <a:ea typeface="Aptos Narrow"/>
                <a:cs typeface="Aptos Narrow"/>
              </a:rPr>
              <a:t>Ferrari vs Stoxx Europe 600 - Weekly returns</a:t>
            </a:r>
          </a:p>
        </c:rich>
      </c:tx>
      <c:overlay val="0"/>
      <c:txPr>
        <a:bodyPr xmlns:a="http://schemas.openxmlformats.org/drawingml/2006/main" anchorCtr="1"/>
        <a:lstStyle xmlns:a="http://schemas.openxmlformats.org/drawingml/2006/main"/>
        <a:p xmlns:a="http://schemas.openxmlformats.org/drawingml/2006/main">
          <a:pPr>
            <a:defRPr sz="1800" b="1" spc="-1">
              <a:solidFill>
                <a:srgbClr val="000000"/>
              </a:solidFill>
              <a:latin typeface="Aptos Narrow"/>
              <a:ea typeface="Aptos Narrow"/>
              <a:cs typeface="Aptos Narrow"/>
            </a:defRPr>
          </a:pPr>
        </a:p>
      </c:txPr>
    </c:title>
    <c:autoTitleDeleted val="0"/>
    <c:plotArea>
      <c:scatterChart>
        <c:scatterStyle val="lineMarker"/>
        <c:ser>
          <c:idx val="0"/>
          <c:order val="0"/>
          <c:tx>
            <c:v>Ferrari vs Stoxx Europe 600 — weekly returns</c:v>
          </c:tx>
          <c:spPr>
            <a:ln xmlns:a="http://schemas.openxmlformats.org/drawingml/2006/main" w="63360">
              <a:noFill/>
            </a:ln>
          </c:spPr>
          <c:marker>
            <c:symbol val="circle"/>
            <c:size val="4"/>
            <c:spPr>
              <a:solidFill xmlns:a="http://schemas.openxmlformats.org/drawingml/2006/main">
                <a:srgbClr val="ED7D31"/>
              </a:solidFill>
            </c:spPr>
          </c:marke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1000" b="0" spc="-1">
                    <a:latin typeface="Arial"/>
                    <a:ea typeface="Arial"/>
                    <a:cs typeface="Arial"/>
                  </a:defRPr>
                </a:pPr>
              </a:p>
            </c:txPr>
            <c:showLegendKey val="0"/>
            <c:showVal val="0"/>
            <c:showCatName val="0"/>
            <c:showSerName val="0"/>
            <c:showPercent val="0"/>
            <c:showBubbleSize val="1"/>
            <c:separator> </c:separator>
            <c:showLeaderLines val="0"/>
          </c:dLbls>
          <c:trendline>
            <c:spPr>
              <a:ln xmlns:a="http://schemas.openxmlformats.org/drawingml/2006/main" w="19080">
                <a:solidFill>
                  <a:srgbClr val="C00000"/>
                </a:solidFill>
              </a:ln>
            </c:spPr>
            <c:trendlineType val="linear"/>
            <c:dispRSqr val="1"/>
            <c:dispEq val="1"/>
            <c:trendlineLbl>
              <c:layout>
                <c:manualLayout>
                  <c:x val="0.023816056498092285"/>
                  <c:y val="-0.16045922585569194"/>
                </c:manualLayout>
              </c:layout>
              <c:numFmt formatCode="General" sourceLinked="0"/>
              <c:txPr>
                <a:bodyPr xmlns:a="http://schemas.openxmlformats.org/drawingml/2006/main" anchorCtr="1"/>
                <a:lstStyle xmlns:a="http://schemas.openxmlformats.org/drawingml/2006/main"/>
                <a:p xmlns:a="http://schemas.openxmlformats.org/drawingml/2006/main">
                  <a:pPr>
                    <a:defRPr sz="1400" b="1"/>
                  </a:pPr>
                </a:p>
              </c:txPr>
            </c:trendlineLbl>
          </c:trendline>
          <c:xVal>
            <c:numRef>
              <c:f>Beta!$T$10:$T$270</c:f>
              <c:numCache>
                <c:formatCode>0.00%</c:formatCode>
                <c:ptCount val="261"/>
                <c:pt idx="0">
                  <c:v>-0.0017918405698926776</c:v>
                </c:pt>
                <c:pt idx="1">
                  <c:v>0.001882620783257849</c:v>
                </c:pt>
                <c:pt idx="2">
                  <c:v>-0.006401992702165349</c:v>
                </c:pt>
                <c:pt idx="3">
                  <c:v>0.014887628095175298</c:v>
                </c:pt>
                <c:pt idx="4">
                  <c:v>0.0004983640657840738</c:v>
                </c:pt>
                <c:pt idx="5">
                  <c:v>0.01782388357084086</c:v>
                </c:pt>
                <c:pt idx="6">
                  <c:v>0.01246888099240362</c:v>
                </c:pt>
                <c:pt idx="7">
                  <c:v>-0.01477418405733133</c:v>
                </c:pt>
                <c:pt idx="8">
                  <c:v>0.007551194539249018</c:v>
                </c:pt>
                <c:pt idx="9">
                  <c:v>-0.0008680188000168565</c:v>
                </c:pt>
                <c:pt idx="10">
                  <c:v>-0.011844977009302315</c:v>
                </c:pt>
                <c:pt idx="11">
                  <c:v>-0.009649611871166974</c:v>
                </c:pt>
                <c:pt idx="12">
                  <c:v>0.003139615451238642</c:v>
                </c:pt>
                <c:pt idx="13">
                  <c:v>-0.022426557879513975</c:v>
                </c:pt>
                <c:pt idx="14">
                  <c:v>0.009693088982115405</c:v>
                </c:pt>
                <c:pt idx="15">
                  <c:v>0.026460233112466813</c:v>
                </c:pt>
                <c:pt idx="16">
                  <c:v>0.005304757238117519</c:v>
                </c:pt>
                <c:pt idx="17">
                  <c:v>0.007692633720437492</c:v>
                </c:pt>
                <c:pt idx="18">
                  <c:v>0.0166768311917731</c:v>
                </c:pt>
                <c:pt idx="19">
                  <c:v>0.006846764851894838</c:v>
                </c:pt>
                <c:pt idx="20">
                  <c:v>-0.0013764766307139409</c:v>
                </c:pt>
                <c:pt idx="21">
                  <c:v>-0.045321757735352186</c:v>
                </c:pt>
                <c:pt idx="22">
                  <c:v>-0.0027583234565241588</c:v>
                </c:pt>
                <c:pt idx="23">
                  <c:v>0.02763791948484129</c:v>
                </c:pt>
                <c:pt idx="24">
                  <c:v>-0.0034906215829758613</c:v>
                </c:pt>
                <c:pt idx="25">
                  <c:v>0.018168389955686814</c:v>
                </c:pt>
                <c:pt idx="26">
                  <c:v>0.01096350334708096</c:v>
                </c:pt>
                <c:pt idx="27">
                  <c:v>-0.0031775317753177656</c:v>
                </c:pt>
                <c:pt idx="28">
                  <c:v>-0.010467866323907393</c:v>
                </c:pt>
                <c:pt idx="29">
                  <c:v>-0.013966248233435952</c:v>
                </c:pt>
                <c:pt idx="30">
                  <c:v>-0.018737880448528754</c:v>
                </c:pt>
                <c:pt idx="31">
                  <c:v>-0.007303189775534347</c:v>
                </c:pt>
                <c:pt idx="32">
                  <c:v>0.01605539327058314</c:v>
                </c:pt>
                <c:pt idx="33">
                  <c:v>-0.018655365547202707</c:v>
                </c:pt>
                <c:pt idx="34">
                  <c:v>-0.015798268266747795</c:v>
                </c:pt>
                <c:pt idx="35">
                  <c:v>-0.07000639428483235</c:v>
                </c:pt>
                <c:pt idx="36">
                  <c:v>0.022262791028498263</c:v>
                </c:pt>
                <c:pt idx="37">
                  <c:v>0.05434051534197648</c:v>
                </c:pt>
                <c:pt idx="38">
                  <c:v>-0.0023097228332600306</c:v>
                </c:pt>
                <c:pt idx="39">
                  <c:v>0.010561128872230041</c:v>
                </c:pt>
                <c:pt idx="40">
                  <c:v>0.005738098354933108</c:v>
                </c:pt>
                <c:pt idx="41">
                  <c:v>-0.0024947393539710427</c:v>
                </c:pt>
                <c:pt idx="42">
                  <c:v>-0.0141577138880431</c:v>
                </c:pt>
                <c:pt idx="43">
                  <c:v>-0.006441508018795172</c:v>
                </c:pt>
                <c:pt idx="44">
                  <c:v>-0.0454717023024489</c:v>
                </c:pt>
                <c:pt idx="45">
                  <c:v>0.008304063641227266</c:v>
                </c:pt>
                <c:pt idx="46">
                  <c:v>-0.005490449386361562</c:v>
                </c:pt>
                <c:pt idx="47">
                  <c:v>0.029761076316399793</c:v>
                </c:pt>
                <c:pt idx="48">
                  <c:v>-0.008650012389340711</c:v>
                </c:pt>
                <c:pt idx="49">
                  <c:v>-0.039491922106841826</c:v>
                </c:pt>
                <c:pt idx="50">
                  <c:v>-0.046036289654846074</c:v>
                </c:pt>
                <c:pt idx="51">
                  <c:v>0.024004959702417894</c:v>
                </c:pt>
                <c:pt idx="52">
                  <c:v>-0.014045964207008432</c:v>
                </c:pt>
                <c:pt idx="53">
                  <c:v>0.02453761697737833</c:v>
                </c:pt>
                <c:pt idx="54">
                  <c:v>-0.008007288070579266</c:v>
                </c:pt>
                <c:pt idx="55">
                  <c:v>0.028831746338634057</c:v>
                </c:pt>
                <c:pt idx="56">
                  <c:v>0.029550633060064557</c:v>
                </c:pt>
                <c:pt idx="57">
                  <c:v>-0.005863697551849234</c:v>
                </c:pt>
                <c:pt idx="58">
                  <c:v>0.011819517121086864</c:v>
                </c:pt>
                <c:pt idx="59">
                  <c:v>-0.007961530609930323</c:v>
                </c:pt>
                <c:pt idx="60">
                  <c:v>-0.025768245838668435</c:v>
                </c:pt>
                <c:pt idx="61">
                  <c:v>-0.023750850759229114</c:v>
                </c:pt>
                <c:pt idx="62">
                  <c:v>0.010577685890809319</c:v>
                </c:pt>
                <c:pt idx="63">
                  <c:v>-0.028855532031305753</c:v>
                </c:pt>
                <c:pt idx="64">
                  <c:v>-0.04369978444052525</c:v>
                </c:pt>
                <c:pt idx="65">
                  <c:v>-0.0065317622950819</c:v>
                </c:pt>
                <c:pt idx="66">
                  <c:v>0.009849168492974014</c:v>
                </c:pt>
                <c:pt idx="67">
                  <c:v>-0.0009191411136927341</c:v>
                </c:pt>
                <c:pt idx="68">
                  <c:v>0.012726482839692466</c:v>
                </c:pt>
                <c:pt idx="69">
                  <c:v>0.036513664235786836</c:v>
                </c:pt>
                <c:pt idx="70">
                  <c:v>0.015142662381926186</c:v>
                </c:pt>
                <c:pt idx="71">
                  <c:v>0.036644443378579306</c:v>
                </c:pt>
                <c:pt idx="72">
                  <c:v>0.002475362050617713</c:v>
                </c:pt>
                <c:pt idx="73">
                  <c:v>0.0170770544388803</c:v>
                </c:pt>
                <c:pt idx="74">
                  <c:v>0.005808544914119862</c:v>
                </c:pt>
                <c:pt idx="75">
                  <c:v>-0.009384375916443033</c:v>
                </c:pt>
                <c:pt idx="76">
                  <c:v>-0.03276933937558346</c:v>
                </c:pt>
                <c:pt idx="77">
                  <c:v>0.00638037387578283</c:v>
                </c:pt>
                <c:pt idx="78">
                  <c:v>-0.005989004561937072</c:v>
                </c:pt>
                <c:pt idx="79">
                  <c:v>0.04596483795805972</c:v>
                </c:pt>
                <c:pt idx="80">
                  <c:v>0.018271004905269894</c:v>
                </c:pt>
                <c:pt idx="81">
                  <c:v>-0.0009280947540549755</c:v>
                </c:pt>
                <c:pt idx="82">
                  <c:v>0.006745996638060747</c:v>
                </c:pt>
                <c:pt idx="83">
                  <c:v>0.012303095546718712</c:v>
                </c:pt>
                <c:pt idx="84">
                  <c:v>-0.006250406927534313</c:v>
                </c:pt>
                <c:pt idx="85">
                  <c:v>0.01399899539190641</c:v>
                </c:pt>
                <c:pt idx="86">
                  <c:v>-0.014214947232392916</c:v>
                </c:pt>
                <c:pt idx="87">
                  <c:v>0.014332532226349226</c:v>
                </c:pt>
                <c:pt idx="88">
                  <c:v>-0.02261663722913887</c:v>
                </c:pt>
                <c:pt idx="89">
                  <c:v>-0.03845645275035259</c:v>
                </c:pt>
                <c:pt idx="90">
                  <c:v>0.00870940386422503</c:v>
                </c:pt>
                <c:pt idx="91">
                  <c:v>0.04028538319965458</c:v>
                </c:pt>
                <c:pt idx="92">
                  <c:v>0.0024025860562642</c:v>
                </c:pt>
                <c:pt idx="93">
                  <c:v>0.017366104501677748</c:v>
                </c:pt>
                <c:pt idx="94">
                  <c:v>0.004476237390503401</c:v>
                </c:pt>
                <c:pt idx="95">
                  <c:v>-0.0050319829424306795</c:v>
                </c:pt>
                <c:pt idx="96">
                  <c:v>-0.002850162866449457</c:v>
                </c:pt>
                <c:pt idx="97">
                  <c:v>0.0003868388816057333</c:v>
                </c:pt>
                <c:pt idx="98">
                  <c:v>0.007218200176158485</c:v>
                </c:pt>
                <c:pt idx="99">
                  <c:v>-0.01586861469553158</c:v>
                </c:pt>
                <c:pt idx="100">
                  <c:v>0.001603779718688303</c:v>
                </c:pt>
                <c:pt idx="101">
                  <c:v>-0.004630531212809652</c:v>
                </c:pt>
                <c:pt idx="102">
                  <c:v>0.01476054868372434</c:v>
                </c:pt>
                <c:pt idx="103">
                  <c:v>-0.029263067694944356</c:v>
                </c:pt>
                <c:pt idx="104">
                  <c:v>0.01939797854967562</c:v>
                </c:pt>
                <c:pt idx="105">
                  <c:v>-0.030913774814365858</c:v>
                </c:pt>
                <c:pt idx="106">
                  <c:v>0.029442644923489247</c:v>
                </c:pt>
                <c:pt idx="107">
                  <c:v>0.009916889091422076</c:v>
                </c:pt>
                <c:pt idx="108">
                  <c:v>0.011559948431456801</c:v>
                </c:pt>
                <c:pt idx="109">
                  <c:v>-0.02442754577509665</c:v>
                </c:pt>
                <c:pt idx="110">
                  <c:v>-0.00023950531266325736</c:v>
                </c:pt>
                <c:pt idx="111">
                  <c:v>-0.023368251410153196</c:v>
                </c:pt>
                <c:pt idx="112">
                  <c:v>0.0065783605387566</c:v>
                </c:pt>
                <c:pt idx="113">
                  <c:v>0.014931655552847811</c:v>
                </c:pt>
                <c:pt idx="114">
                  <c:v>-0.007574269312203841</c:v>
                </c:pt>
                <c:pt idx="115">
                  <c:v>0.015989970527427122</c:v>
                </c:pt>
                <c:pt idx="116">
                  <c:v>-0.01876907756586499</c:v>
                </c:pt>
                <c:pt idx="117">
                  <c:v>-0.006706967303534261</c:v>
                </c:pt>
                <c:pt idx="118">
                  <c:v>-0.011749811203411675</c:v>
                </c:pt>
                <c:pt idx="119">
                  <c:v>0.009552064369676039</c:v>
                </c:pt>
                <c:pt idx="120">
                  <c:v>-0.03439601050803687</c:v>
                </c:pt>
                <c:pt idx="121">
                  <c:v>-0.009568164526318257</c:v>
                </c:pt>
                <c:pt idx="122">
                  <c:v>0.034126355975604206</c:v>
                </c:pt>
                <c:pt idx="123">
                  <c:v>-0.0020934629929767468</c:v>
                </c:pt>
                <c:pt idx="124">
                  <c:v>0.028219530351221378</c:v>
                </c:pt>
                <c:pt idx="125">
                  <c:v>0.009126409547628445</c:v>
                </c:pt>
                <c:pt idx="126">
                  <c:v>0.01352232705769807</c:v>
                </c:pt>
                <c:pt idx="127">
                  <c:v>0.012998712998713025</c:v>
                </c:pt>
                <c:pt idx="128">
                  <c:v>0.00921102782365657</c:v>
                </c:pt>
                <c:pt idx="129">
                  <c:v>0.002077170013218277</c:v>
                </c:pt>
                <c:pt idx="130">
                  <c:v>0.0029103852596314983</c:v>
                </c:pt>
                <c:pt idx="131">
                  <c:v>-0.005448965531639538</c:v>
                </c:pt>
                <c:pt idx="132">
                  <c:v>0.0007976825223561246</c:v>
                </c:pt>
                <c:pt idx="133">
                  <c:v>-0.015773135330145127</c:v>
                </c:pt>
                <c:pt idx="134">
                  <c:v>0.031114142016878343</c:v>
                </c:pt>
                <c:pt idx="135">
                  <c:v>0.00018601190476186247</c:v>
                </c:pt>
                <c:pt idx="136">
                  <c:v>0.0018597731076808177</c:v>
                </c:pt>
                <c:pt idx="137">
                  <c:v>0.013943031578078857</c:v>
                </c:pt>
                <c:pt idx="138">
                  <c:v>0.011513659757114825</c:v>
                </c:pt>
                <c:pt idx="139">
                  <c:v>0.0006636500754146901</c:v>
                </c:pt>
                <c:pt idx="140">
                  <c:v>0.011415249809076045</c:v>
                </c:pt>
                <c:pt idx="141">
                  <c:v>0.0030600484838851916</c:v>
                </c:pt>
                <c:pt idx="142">
                  <c:v>0.009587955625990352</c:v>
                </c:pt>
                <c:pt idx="143">
                  <c:v>0.005945373204615079</c:v>
                </c:pt>
                <c:pt idx="144">
                  <c:v>-0.011937503657323378</c:v>
                </c:pt>
                <c:pt idx="145">
                  <c:v>-0.0025663804165433346</c:v>
                </c:pt>
                <c:pt idx="146">
                  <c:v>-0.011796140524492738</c:v>
                </c:pt>
                <c:pt idx="147">
                  <c:v>0.017404714694866597</c:v>
                </c:pt>
                <c:pt idx="148">
                  <c:v>-0.004823024528524789</c:v>
                </c:pt>
                <c:pt idx="149">
                  <c:v>0.03012679761834125</c:v>
                </c:pt>
                <c:pt idx="150">
                  <c:v>0.0041861894154697765</c:v>
                </c:pt>
                <c:pt idx="151">
                  <c:v>-0.00453206868856848</c:v>
                </c:pt>
                <c:pt idx="152">
                  <c:v>-0.004610330983345401</c:v>
                </c:pt>
                <c:pt idx="153">
                  <c:v>0.010382692938610827</c:v>
                </c:pt>
                <c:pt idx="154">
                  <c:v>-0.02387546557157849</c:v>
                </c:pt>
                <c:pt idx="155">
                  <c:v>0.007944428138146886</c:v>
                </c:pt>
                <c:pt idx="156">
                  <c:v>-0.007163518471782759</c:v>
                </c:pt>
                <c:pt idx="157">
                  <c:v>0.010128661374213088</c:v>
                </c:pt>
                <c:pt idx="158">
                  <c:v>0.01447928765001949</c:v>
                </c:pt>
                <c:pt idx="159">
                  <c:v>-0.026808884139826072</c:v>
                </c:pt>
                <c:pt idx="160">
                  <c:v>0.00548987314471705</c:v>
                </c:pt>
                <c:pt idx="161">
                  <c:v>-0.029210459606497263</c:v>
                </c:pt>
                <c:pt idx="162">
                  <c:v>0.0026915737671988627</c:v>
                </c:pt>
                <c:pt idx="163">
                  <c:v>0.024559786854704502</c:v>
                </c:pt>
                <c:pt idx="164">
                  <c:v>0.013060905269332235</c:v>
                </c:pt>
                <c:pt idx="165">
                  <c:v>0.013355721537065879</c:v>
                </c:pt>
                <c:pt idx="166">
                  <c:v>-0.0352156937434529</c:v>
                </c:pt>
                <c:pt idx="167">
                  <c:v>0.018536797220467527</c:v>
                </c:pt>
                <c:pt idx="168">
                  <c:v>-0.003275511192945113</c:v>
                </c:pt>
                <c:pt idx="169">
                  <c:v>0.02687356590051726</c:v>
                </c:pt>
                <c:pt idx="170">
                  <c:v>-0.01802757158006385</c:v>
                </c:pt>
                <c:pt idx="171">
                  <c:v>0.006595186670780739</c:v>
                </c:pt>
                <c:pt idx="172">
                  <c:v>0.0057665044637724705</c:v>
                </c:pt>
                <c:pt idx="173">
                  <c:v>-0.011771652793386655</c:v>
                </c:pt>
                <c:pt idx="174">
                  <c:v>-0.015246429328655942</c:v>
                </c:pt>
                <c:pt idx="175">
                  <c:v>-0.008357799960853396</c:v>
                </c:pt>
                <c:pt idx="176">
                  <c:v>-0.0069281329569902406</c:v>
                </c:pt>
                <c:pt idx="177">
                  <c:v>0.010633646048656464</c:v>
                </c:pt>
                <c:pt idx="178">
                  <c:v>0.0035006981729501785</c:v>
                </c:pt>
                <c:pt idx="179">
                  <c:v>0.020029397354238254</c:v>
                </c:pt>
                <c:pt idx="180">
                  <c:v>-0.007723788114588737</c:v>
                </c:pt>
                <c:pt idx="181">
                  <c:v>-0.0276115790492788</c:v>
                </c:pt>
                <c:pt idx="182">
                  <c:v>0.009936478225372802</c:v>
                </c:pt>
                <c:pt idx="183">
                  <c:v>0.0019914034465080555</c:v>
                </c:pt>
                <c:pt idx="184">
                  <c:v>0.00651331195025473</c:v>
                </c:pt>
                <c:pt idx="185">
                  <c:v>0.023695014662756586</c:v>
                </c:pt>
                <c:pt idx="186">
                  <c:v>0.012318093273748332</c:v>
                </c:pt>
                <c:pt idx="187">
                  <c:v>0.017846699492519713</c:v>
                </c:pt>
                <c:pt idx="188">
                  <c:v>0.005968157470390922</c:v>
                </c:pt>
                <c:pt idx="189">
                  <c:v>0.017798249654537024</c:v>
                </c:pt>
                <c:pt idx="190">
                  <c:v>0.0026067594721312926</c:v>
                </c:pt>
                <c:pt idx="191">
                  <c:v>0.00603051367698848</c:v>
                </c:pt>
                <c:pt idx="192">
                  <c:v>-0.006891724546384648</c:v>
                </c:pt>
                <c:pt idx="193">
                  <c:v>-0.012198427758200014</c:v>
                </c:pt>
                <c:pt idx="194">
                  <c:v>0.005616538602268406</c:v>
                </c:pt>
                <c:pt idx="195">
                  <c:v>-0.013771899503338236</c:v>
                </c:pt>
                <c:pt idx="196">
                  <c:v>-0.08443091680501758</c:v>
                </c:pt>
                <c:pt idx="197">
                  <c:v>-0.019200934861886232</c:v>
                </c:pt>
                <c:pt idx="198">
                  <c:v>0.04030402629416607</c:v>
                </c:pt>
                <c:pt idx="199">
                  <c:v>0.02770427708226375</c:v>
                </c:pt>
                <c:pt idx="200">
                  <c:v>0.030704198289941198</c:v>
                </c:pt>
                <c:pt idx="201">
                  <c:v>0.002852189474861655</c:v>
                </c:pt>
                <c:pt idx="202">
                  <c:v>0.02100527920291473</c:v>
                </c:pt>
                <c:pt idx="203">
                  <c:v>-0.007519207661216942</c:v>
                </c:pt>
                <c:pt idx="204">
                  <c:v>0.006493863848989978</c:v>
                </c:pt>
                <c:pt idx="205">
                  <c:v>0.00905826817577049</c:v>
                </c:pt>
                <c:pt idx="206">
                  <c:v>-0.015714182501264218</c:v>
                </c:pt>
                <c:pt idx="207">
                  <c:v>-0.015432891694498574</c:v>
                </c:pt>
                <c:pt idx="208">
                  <c:v>0.013233183605763088</c:v>
                </c:pt>
                <c:pt idx="209">
                  <c:v>-0.004598716038482054</c:v>
                </c:pt>
                <c:pt idx="210">
                  <c:v>0.011475985437880087</c:v>
                </c:pt>
                <c:pt idx="211">
                  <c:v>-0.0006211861000475771</c:v>
                </c:pt>
                <c:pt idx="212">
                  <c:v>0.005393053016453431</c:v>
                </c:pt>
                <c:pt idx="213">
                  <c:v>-0.025747795254114192</c:v>
                </c:pt>
                <c:pt idx="214">
                  <c:v>0.021071688534687327</c:v>
                </c:pt>
                <c:pt idx="215">
                  <c:v>0.011844702785698491</c:v>
                </c:pt>
                <c:pt idx="216">
                  <c:v>0.013982224149143851</c:v>
                </c:pt>
                <c:pt idx="217">
                  <c:v>-0.019882415820416832</c:v>
                </c:pt>
                <c:pt idx="218">
                  <c:v>-0.0016904787872177307</c:v>
                </c:pt>
                <c:pt idx="219">
                  <c:v>0.010251087926294034</c:v>
                </c:pt>
                <c:pt idx="220">
                  <c:v>-0.0012976714007641998</c:v>
                </c:pt>
                <c:pt idx="221">
                  <c:v>0.0007218652999350095</c:v>
                </c:pt>
                <c:pt idx="222">
                  <c:v>0.028727548149751314</c:v>
                </c:pt>
                <c:pt idx="223">
                  <c:v>-0.011026382680340174</c:v>
                </c:pt>
                <c:pt idx="224">
                  <c:v>0.003686897334089778</c:v>
                </c:pt>
                <c:pt idx="225">
                  <c:v>0.016812658943204273</c:v>
                </c:pt>
                <c:pt idx="226">
                  <c:v>-0.006721550646102581</c:v>
                </c:pt>
                <c:pt idx="227">
                  <c:v>-0.012414974907762</c:v>
                </c:pt>
                <c:pt idx="228">
                  <c:v>0.017741107314222848</c:v>
                </c:pt>
                <c:pt idx="229">
                  <c:v>-0.022111654285763893</c:v>
                </c:pt>
                <c:pt idx="230">
                  <c:v>0.02549368439779376</c:v>
                </c:pt>
                <c:pt idx="231">
                  <c:v>0.004059469493260304</c:v>
                </c:pt>
                <c:pt idx="232">
                  <c:v>-0.0009157350933876041</c:v>
                </c:pt>
                <c:pt idx="233">
                  <c:v>0.016014111787493013</c:v>
                </c:pt>
                <c:pt idx="234">
                  <c:v>0.0020425531914893824</c:v>
                </c:pt>
                <c:pt idx="235">
                  <c:v>0.012638015967385563</c:v>
                </c:pt>
                <c:pt idx="236">
                  <c:v>0.02269601100412655</c:v>
                </c:pt>
                <c:pt idx="237">
                  <c:v>0.007725490839306515</c:v>
                </c:pt>
                <c:pt idx="238">
                  <c:v>-0.00983104918779898</c:v>
                </c:pt>
                <c:pt idx="239">
                  <c:v>0.004372554821316932</c:v>
                </c:pt>
                <c:pt idx="240">
                  <c:v>0.01001636661211136</c:v>
                </c:pt>
                <c:pt idx="241">
                  <c:v>0.0009398496240602405</c:v>
                </c:pt>
                <c:pt idx="242">
                  <c:v>0.020819167880848255</c:v>
                </c:pt>
                <c:pt idx="243">
                  <c:v>0.005217584369449524</c:v>
                </c:pt>
                <c:pt idx="244">
                  <c:v>-0.05547053719334227</c:v>
                </c:pt>
                <c:pt idx="245">
                  <c:v>-0.004743690390686339</c:v>
                </c:pt>
                <c:pt idx="246">
                  <c:v>-0.037878660736762715</c:v>
                </c:pt>
                <c:pt idx="247">
                  <c:v>0.003523583589171153</c:v>
                </c:pt>
                <c:pt idx="248">
                  <c:v>0.0370763080132106</c:v>
                </c:pt>
                <c:pt idx="249">
                  <c:v>0.0305214286911486</c:v>
                </c:pt>
                <c:pt idx="250">
                  <c:v>0.019094398542710334</c:v>
                </c:pt>
                <c:pt idx="251">
                  <c:v>-0.025423728813559476</c:v>
                </c:pt>
                <c:pt idx="252">
                  <c:v>0.0014738393515105752</c:v>
                </c:pt>
                <c:pt idx="253">
                  <c:v>0.0009647616711634388</c:v>
                </c:pt>
                <c:pt idx="254">
                  <c:v>-0.00852746103832458</c:v>
                </c:pt>
                <c:pt idx="255">
                  <c:v>0.029987477756541203</c:v>
                </c:pt>
                <c:pt idx="256">
                  <c:v>0.0014077297158945346</c:v>
                </c:pt>
                <c:pt idx="257">
                  <c:v>-0.005335463258785977</c:v>
                </c:pt>
                <c:pt idx="258">
                  <c:v>0.016943436225227426</c:v>
                </c:pt>
                <c:pt idx="259">
                  <c:v>0.0037902117780830302</c:v>
                </c:pt>
                <c:pt idx="260">
                  <c:v>0.0004247887855759469</c:v>
                </c:pt>
              </c:numCache>
            </c:numRef>
          </c:xVal>
          <c:yVal>
            <c:numRef>
              <c:f>Beta!$R$10:$R$270</c:f>
              <c:numCache>
                <c:formatCode>0.00%</c:formatCode>
                <c:ptCount val="261"/>
                <c:pt idx="0">
                  <c:v>0.02053388090349073</c:v>
                </c:pt>
                <c:pt idx="1">
                  <c:v>0.011784995688416178</c:v>
                </c:pt>
                <c:pt idx="2">
                  <c:v>-0.0008522727272727293</c:v>
                </c:pt>
                <c:pt idx="3">
                  <c:v>0.019050326983224286</c:v>
                </c:pt>
                <c:pt idx="4">
                  <c:v>0.02594866071428581</c:v>
                </c:pt>
                <c:pt idx="5">
                  <c:v>0.020125101985314142</c:v>
                </c:pt>
                <c:pt idx="6">
                  <c:v>0.024260197280725038</c:v>
                </c:pt>
                <c:pt idx="7">
                  <c:v>-0.055179593961478424</c:v>
                </c:pt>
                <c:pt idx="8">
                  <c:v>0.008815426997245135</c:v>
                </c:pt>
                <c:pt idx="9">
                  <c:v>0.006553795740032786</c:v>
                </c:pt>
                <c:pt idx="10">
                  <c:v>0.009224091155724201</c:v>
                </c:pt>
                <c:pt idx="11">
                  <c:v>-0.008602150537634357</c:v>
                </c:pt>
                <c:pt idx="12">
                  <c:v>0.0018980477223426995</c:v>
                </c:pt>
                <c:pt idx="13">
                  <c:v>-0.02706359945872805</c:v>
                </c:pt>
                <c:pt idx="14">
                  <c:v>0.026425591098748313</c:v>
                </c:pt>
                <c:pt idx="15">
                  <c:v>0.04146341463414638</c:v>
                </c:pt>
                <c:pt idx="16">
                  <c:v>-0.002602133749674773</c:v>
                </c:pt>
                <c:pt idx="17">
                  <c:v>0.06965823115053471</c:v>
                </c:pt>
                <c:pt idx="18">
                  <c:v>0.11609756097560986</c:v>
                </c:pt>
                <c:pt idx="19">
                  <c:v>-0.0034965034965035446</c:v>
                </c:pt>
                <c:pt idx="20">
                  <c:v>0.051315789473684204</c:v>
                </c:pt>
                <c:pt idx="21">
                  <c:v>-0.03462661660408839</c:v>
                </c:pt>
                <c:pt idx="22">
                  <c:v>-0.00907519446845284</c:v>
                </c:pt>
                <c:pt idx="23">
                  <c:v>-0.000436109899694781</c:v>
                </c:pt>
                <c:pt idx="24">
                  <c:v>-0.008289703315881192</c:v>
                </c:pt>
                <c:pt idx="25">
                  <c:v>-0.015838099428068686</c:v>
                </c:pt>
                <c:pt idx="26">
                  <c:v>0.016987036209208828</c:v>
                </c:pt>
                <c:pt idx="27">
                  <c:v>-0.010549450549450556</c:v>
                </c:pt>
                <c:pt idx="28">
                  <c:v>-0.05197689915593062</c:v>
                </c:pt>
                <c:pt idx="29">
                  <c:v>-0.027179006560449914</c:v>
                </c:pt>
                <c:pt idx="30">
                  <c:v>-0.03420038535645464</c:v>
                </c:pt>
                <c:pt idx="31">
                  <c:v>-0.0024937655860348684</c:v>
                </c:pt>
                <c:pt idx="32">
                  <c:v>-0.025250000000000106</c:v>
                </c:pt>
                <c:pt idx="33">
                  <c:v>-0.002308284175429498</c:v>
                </c:pt>
                <c:pt idx="34">
                  <c:v>-0.020822622107969257</c:v>
                </c:pt>
                <c:pt idx="35">
                  <c:v>-0.05171961144657389</c:v>
                </c:pt>
                <c:pt idx="36">
                  <c:v>-0.028239202657807327</c:v>
                </c:pt>
                <c:pt idx="37">
                  <c:v>0.07720797720797723</c:v>
                </c:pt>
                <c:pt idx="38">
                  <c:v>0.016133298069293645</c:v>
                </c:pt>
                <c:pt idx="39">
                  <c:v>0.03878188443519015</c:v>
                </c:pt>
                <c:pt idx="40">
                  <c:v>0.01829115509897261</c:v>
                </c:pt>
                <c:pt idx="41">
                  <c:v>0.017716535433071057</c:v>
                </c:pt>
                <c:pt idx="42">
                  <c:v>-0.04714700193423593</c:v>
                </c:pt>
                <c:pt idx="43">
                  <c:v>0.03019538188277071</c:v>
                </c:pt>
                <c:pt idx="44">
                  <c:v>-0.07339901477832511</c:v>
                </c:pt>
                <c:pt idx="45">
                  <c:v>-0.006379585326953707</c:v>
                </c:pt>
                <c:pt idx="46">
                  <c:v>-0.0401284109149278</c:v>
                </c:pt>
                <c:pt idx="47">
                  <c:v>0.04347826086956519</c:v>
                </c:pt>
                <c:pt idx="48">
                  <c:v>-0.05074786324786329</c:v>
                </c:pt>
                <c:pt idx="49">
                  <c:v>-0.022791221159257136</c:v>
                </c:pt>
                <c:pt idx="50">
                  <c:v>-0.03656780881082633</c:v>
                </c:pt>
                <c:pt idx="51">
                  <c:v>0.07411835026897773</c:v>
                </c:pt>
                <c:pt idx="52">
                  <c:v>-0.011407902058987118</c:v>
                </c:pt>
                <c:pt idx="53">
                  <c:v>0.07345904869124675</c:v>
                </c:pt>
                <c:pt idx="54">
                  <c:v>0.012323020450970334</c:v>
                </c:pt>
                <c:pt idx="55">
                  <c:v>0.022792022792022637</c:v>
                </c:pt>
                <c:pt idx="56">
                  <c:v>0.044315016459863354</c:v>
                </c:pt>
                <c:pt idx="57">
                  <c:v>0.009214354995150442</c:v>
                </c:pt>
                <c:pt idx="58">
                  <c:v>0.004324843825084024</c:v>
                </c:pt>
                <c:pt idx="59">
                  <c:v>-0.017703349282296554</c:v>
                </c:pt>
                <c:pt idx="60">
                  <c:v>-0.026546517291768268</c:v>
                </c:pt>
                <c:pt idx="61">
                  <c:v>-0.016012009006755035</c:v>
                </c:pt>
                <c:pt idx="62">
                  <c:v>-0.005593694380879755</c:v>
                </c:pt>
                <c:pt idx="63">
                  <c:v>0.0051137816415238735</c:v>
                </c:pt>
                <c:pt idx="64">
                  <c:v>-0.03256168913762403</c:v>
                </c:pt>
                <c:pt idx="65">
                  <c:v>0.008151459374178271</c:v>
                </c:pt>
                <c:pt idx="66">
                  <c:v>-0.010693792383933087</c:v>
                </c:pt>
                <c:pt idx="67">
                  <c:v>-0.012391247034009956</c:v>
                </c:pt>
                <c:pt idx="68">
                  <c:v>0.015483182060864742</c:v>
                </c:pt>
                <c:pt idx="69">
                  <c:v>0.045741324921135806</c:v>
                </c:pt>
                <c:pt idx="70">
                  <c:v>0.012569130216188995</c:v>
                </c:pt>
                <c:pt idx="71">
                  <c:v>0.04170804369414105</c:v>
                </c:pt>
                <c:pt idx="72">
                  <c:v>-0.007626310772164024</c:v>
                </c:pt>
                <c:pt idx="73">
                  <c:v>0.008645533141210526</c:v>
                </c:pt>
                <c:pt idx="74">
                  <c:v>0.021428571428571352</c:v>
                </c:pt>
                <c:pt idx="75">
                  <c:v>-0.023776223776223793</c:v>
                </c:pt>
                <c:pt idx="76">
                  <c:v>-0.01384909264565426</c:v>
                </c:pt>
                <c:pt idx="77">
                  <c:v>-0.03777239709443103</c:v>
                </c:pt>
                <c:pt idx="78">
                  <c:v>0.007549068948162985</c:v>
                </c:pt>
                <c:pt idx="79">
                  <c:v>0.043456543456543484</c:v>
                </c:pt>
                <c:pt idx="80">
                  <c:v>0.041646720919100044</c:v>
                </c:pt>
                <c:pt idx="81">
                  <c:v>0.022977941176470562</c:v>
                </c:pt>
                <c:pt idx="82">
                  <c:v>0.04537286612758318</c:v>
                </c:pt>
                <c:pt idx="83">
                  <c:v>0.039965620971207594</c:v>
                </c:pt>
                <c:pt idx="84">
                  <c:v>0.0024793388429751317</c:v>
                </c:pt>
                <c:pt idx="85">
                  <c:v>0.02638087386644683</c:v>
                </c:pt>
                <c:pt idx="86">
                  <c:v>-0.016867469879518038</c:v>
                </c:pt>
                <c:pt idx="87">
                  <c:v>0.04738562091503251</c:v>
                </c:pt>
                <c:pt idx="88">
                  <c:v>-0.03120124804992186</c:v>
                </c:pt>
                <c:pt idx="89">
                  <c:v>-0.025764895330112725</c:v>
                </c:pt>
                <c:pt idx="90">
                  <c:v>0.007851239669421473</c:v>
                </c:pt>
                <c:pt idx="91">
                  <c:v>0.022140221402213944</c:v>
                </c:pt>
                <c:pt idx="92">
                  <c:v>-0.0016044925792217946</c:v>
                </c:pt>
                <c:pt idx="93">
                  <c:v>0.04298915226998812</c:v>
                </c:pt>
                <c:pt idx="94">
                  <c:v>-0.028890600924499354</c:v>
                </c:pt>
                <c:pt idx="95">
                  <c:v>0.0007933359777867466</c:v>
                </c:pt>
                <c:pt idx="96">
                  <c:v>0.06817281014665078</c:v>
                </c:pt>
                <c:pt idx="97">
                  <c:v>0.010760667903525034</c:v>
                </c:pt>
                <c:pt idx="98">
                  <c:v>0.01284875183553602</c:v>
                </c:pt>
                <c:pt idx="99">
                  <c:v>-0.015222906850308027</c:v>
                </c:pt>
                <c:pt idx="100">
                  <c:v>0.027235921972764254</c:v>
                </c:pt>
                <c:pt idx="101">
                  <c:v>-0.009673951988534712</c:v>
                </c:pt>
                <c:pt idx="102">
                  <c:v>0.01772793053545607</c:v>
                </c:pt>
                <c:pt idx="103">
                  <c:v>0.004621400639886364</c:v>
                </c:pt>
                <c:pt idx="104">
                  <c:v>0.05980184005661715</c:v>
                </c:pt>
                <c:pt idx="105">
                  <c:v>-0.03772954924874794</c:v>
                </c:pt>
                <c:pt idx="106">
                  <c:v>0.016308119361554407</c:v>
                </c:pt>
                <c:pt idx="107">
                  <c:v>-0.021167634004779723</c:v>
                </c:pt>
                <c:pt idx="108">
                  <c:v>0.01918381583536788</c:v>
                </c:pt>
                <c:pt idx="109">
                  <c:v>-0.02327173169062291</c:v>
                </c:pt>
                <c:pt idx="110">
                  <c:v>-0.0007007708479327412</c:v>
                </c:pt>
                <c:pt idx="111">
                  <c:v>-0.019635343618513157</c:v>
                </c:pt>
                <c:pt idx="112">
                  <c:v>0.025751072961373245</c:v>
                </c:pt>
                <c:pt idx="113">
                  <c:v>-0.009065550906555142</c:v>
                </c:pt>
                <c:pt idx="114">
                  <c:v>-0.01724137931034475</c:v>
                </c:pt>
                <c:pt idx="115">
                  <c:v>0.016827783745076985</c:v>
                </c:pt>
                <c:pt idx="116">
                  <c:v>-0.03873239436619713</c:v>
                </c:pt>
                <c:pt idx="117">
                  <c:v>0.024542124542124455</c:v>
                </c:pt>
                <c:pt idx="118">
                  <c:v>0.02323918484090104</c:v>
                </c:pt>
                <c:pt idx="119">
                  <c:v>0.03843466107617055</c:v>
                </c:pt>
                <c:pt idx="120">
                  <c:v>-0.043068640646029666</c:v>
                </c:pt>
                <c:pt idx="121">
                  <c:v>-0.006329113924050445</c:v>
                </c:pt>
                <c:pt idx="122">
                  <c:v>0.09235668789808904</c:v>
                </c:pt>
                <c:pt idx="123">
                  <c:v>0.0194363459669582</c:v>
                </c:pt>
                <c:pt idx="124">
                  <c:v>0.04734667937718462</c:v>
                </c:pt>
                <c:pt idx="125">
                  <c:v>0.01941747572815533</c:v>
                </c:pt>
                <c:pt idx="126">
                  <c:v>-0.021428571428571352</c:v>
                </c:pt>
                <c:pt idx="127">
                  <c:v>0.03619221411192197</c:v>
                </c:pt>
                <c:pt idx="128">
                  <c:v>-0.038743762841209284</c:v>
                </c:pt>
                <c:pt idx="129">
                  <c:v>-0.06900763358778628</c:v>
                </c:pt>
                <c:pt idx="130">
                  <c:v>0.0009839291571007713</c:v>
                </c:pt>
                <c:pt idx="131">
                  <c:v>0.001310615989515096</c:v>
                </c:pt>
                <c:pt idx="132">
                  <c:v>0.04482984293193715</c:v>
                </c:pt>
                <c:pt idx="133">
                  <c:v>0.0006263701847790681</c:v>
                </c:pt>
                <c:pt idx="134">
                  <c:v>-0.019718309859155014</c:v>
                </c:pt>
                <c:pt idx="135">
                  <c:v>0.10951468710089407</c:v>
                </c:pt>
                <c:pt idx="136">
                  <c:v>0.04287769784172646</c:v>
                </c:pt>
                <c:pt idx="137">
                  <c:v>0.0016556291390728006</c:v>
                </c:pt>
                <c:pt idx="138">
                  <c:v>0.06336088154269981</c:v>
                </c:pt>
                <c:pt idx="139">
                  <c:v>0.016321243523315987</c:v>
                </c:pt>
                <c:pt idx="140">
                  <c:v>-0.012745347947998975</c:v>
                </c:pt>
                <c:pt idx="141">
                  <c:v>0.0023237800154918276</c:v>
                </c:pt>
                <c:pt idx="142">
                  <c:v>0.034260690365790936</c:v>
                </c:pt>
                <c:pt idx="143">
                  <c:v>0.0062266500622665255</c:v>
                </c:pt>
                <c:pt idx="144">
                  <c:v>-0.04084158415841588</c:v>
                </c:pt>
                <c:pt idx="145">
                  <c:v>0.00025806451612919723</c:v>
                </c:pt>
                <c:pt idx="146">
                  <c:v>-0.0010319917440660964</c:v>
                </c:pt>
                <c:pt idx="147">
                  <c:v>0.018853305785123897</c:v>
                </c:pt>
                <c:pt idx="148">
                  <c:v>0.011660329531052005</c:v>
                </c:pt>
                <c:pt idx="149">
                  <c:v>-0.06163868704585318</c:v>
                </c:pt>
                <c:pt idx="150">
                  <c:v>0.036582109479305736</c:v>
                </c:pt>
                <c:pt idx="151">
                  <c:v>-0.010561566202988093</c:v>
                </c:pt>
                <c:pt idx="152">
                  <c:v>-0.017443374121322686</c:v>
                </c:pt>
                <c:pt idx="153">
                  <c:v>0.014308426073132097</c:v>
                </c:pt>
                <c:pt idx="154">
                  <c:v>-0.008098223615465083</c:v>
                </c:pt>
                <c:pt idx="155">
                  <c:v>0.01685541216750064</c:v>
                </c:pt>
                <c:pt idx="156">
                  <c:v>-0.013986013986014068</c:v>
                </c:pt>
                <c:pt idx="157">
                  <c:v>0.01891252955082745</c:v>
                </c:pt>
                <c:pt idx="158">
                  <c:v>0.02706883217324063</c:v>
                </c:pt>
                <c:pt idx="159">
                  <c:v>-0.0368975903614458</c:v>
                </c:pt>
                <c:pt idx="160">
                  <c:v>-0.00833984884023975</c:v>
                </c:pt>
                <c:pt idx="161">
                  <c:v>0.03232588699080163</c:v>
                </c:pt>
                <c:pt idx="162">
                  <c:v>-0.01807535641547864</c:v>
                </c:pt>
                <c:pt idx="163">
                  <c:v>0.0850401866735806</c:v>
                </c:pt>
                <c:pt idx="164">
                  <c:v>0.029868578255675127</c:v>
                </c:pt>
                <c:pt idx="165">
                  <c:v>0.037587006960556835</c:v>
                </c:pt>
                <c:pt idx="166">
                  <c:v>-0.048971377459749554</c:v>
                </c:pt>
                <c:pt idx="167">
                  <c:v>0.0002351281448389475</c:v>
                </c:pt>
                <c:pt idx="168">
                  <c:v>-0.012458862247296532</c:v>
                </c:pt>
                <c:pt idx="169">
                  <c:v>0.011187812425612842</c:v>
                </c:pt>
                <c:pt idx="170">
                  <c:v>-0.03578154425612046</c:v>
                </c:pt>
                <c:pt idx="171">
                  <c:v>0.0419921875</c:v>
                </c:pt>
                <c:pt idx="172">
                  <c:v>0.038659793814433074</c:v>
                </c:pt>
                <c:pt idx="173">
                  <c:v>0.015339499210466956</c:v>
                </c:pt>
                <c:pt idx="174">
                  <c:v>-0.01955121084203515</c:v>
                </c:pt>
                <c:pt idx="175">
                  <c:v>-0.04441423068207573</c:v>
                </c:pt>
                <c:pt idx="176">
                  <c:v>-0.025373488261797417</c:v>
                </c:pt>
                <c:pt idx="177">
                  <c:v>0.01751824817518255</c:v>
                </c:pt>
                <c:pt idx="178">
                  <c:v>-0.015542802486848362</c:v>
                </c:pt>
                <c:pt idx="179">
                  <c:v>0.05003643429681803</c:v>
                </c:pt>
                <c:pt idx="180">
                  <c:v>-0.0018505667360629863</c:v>
                </c:pt>
                <c:pt idx="181">
                  <c:v>-0.04611819235225956</c:v>
                </c:pt>
                <c:pt idx="182">
                  <c:v>0.007774538386783325</c:v>
                </c:pt>
                <c:pt idx="183">
                  <c:v>-0.022902603664416543</c:v>
                </c:pt>
                <c:pt idx="184">
                  <c:v>0.032568467801628476</c:v>
                </c:pt>
                <c:pt idx="185">
                  <c:v>0.013859020310633241</c:v>
                </c:pt>
                <c:pt idx="186">
                  <c:v>-0.03134574593448036</c:v>
                </c:pt>
                <c:pt idx="187">
                  <c:v>0.013625304136253069</c:v>
                </c:pt>
                <c:pt idx="188">
                  <c:v>0.04416706673067683</c:v>
                </c:pt>
                <c:pt idx="189">
                  <c:v>0.10275862068965513</c:v>
                </c:pt>
                <c:pt idx="190">
                  <c:v>0.00500312695434646</c:v>
                </c:pt>
                <c:pt idx="191">
                  <c:v>-0.06658369632856254</c:v>
                </c:pt>
                <c:pt idx="192">
                  <c:v>-0.08377777777777773</c:v>
                </c:pt>
                <c:pt idx="193">
                  <c:v>0.00024254183846705857</c:v>
                </c:pt>
                <c:pt idx="194">
                  <c:v>-0.02133850630455858</c:v>
                </c:pt>
                <c:pt idx="195">
                  <c:v>-0.0049554013875123815</c:v>
                </c:pt>
                <c:pt idx="196">
                  <c:v>-0.03535856573705187</c:v>
                </c:pt>
                <c:pt idx="197">
                  <c:v>-0.04439855446566854</c:v>
                </c:pt>
                <c:pt idx="198">
                  <c:v>0.04267963263101038</c:v>
                </c:pt>
                <c:pt idx="199">
                  <c:v>0.040932642487046644</c:v>
                </c:pt>
                <c:pt idx="200">
                  <c:v>0.020657043305126965</c:v>
                </c:pt>
                <c:pt idx="201">
                  <c:v>0.05608388198000491</c:v>
                </c:pt>
                <c:pt idx="202">
                  <c:v>0.03070884322327405</c:v>
                </c:pt>
                <c:pt idx="203">
                  <c:v>-0.05757168458781359</c:v>
                </c:pt>
                <c:pt idx="204">
                  <c:v>0.0016638935108153063</c:v>
                </c:pt>
                <c:pt idx="205">
                  <c:v>0.007831039392501182</c:v>
                </c:pt>
                <c:pt idx="206">
                  <c:v>-0.05462679538497761</c:v>
                </c:pt>
                <c:pt idx="207">
                  <c:v>-0.007222914072229081</c:v>
                </c:pt>
                <c:pt idx="208">
                  <c:v>0.05368790767686904</c:v>
                </c:pt>
                <c:pt idx="209">
                  <c:v>-0.026666666666666616</c:v>
                </c:pt>
                <c:pt idx="210">
                  <c:v>0.03131115459882583</c:v>
                </c:pt>
                <c:pt idx="211">
                  <c:v>0.035341555977229655</c:v>
                </c:pt>
                <c:pt idx="212">
                  <c:v>0.010080183276059529</c:v>
                </c:pt>
                <c:pt idx="213">
                  <c:v>-0.13971422091177133</c:v>
                </c:pt>
                <c:pt idx="214">
                  <c:v>0.0031637226469811708</c:v>
                </c:pt>
                <c:pt idx="215">
                  <c:v>0.0446780551905388</c:v>
                </c:pt>
                <c:pt idx="216">
                  <c:v>0.016603773584905612</c:v>
                </c:pt>
                <c:pt idx="217">
                  <c:v>0.006434050977480732</c:v>
                </c:pt>
                <c:pt idx="218">
                  <c:v>0.028768133759527803</c:v>
                </c:pt>
                <c:pt idx="219">
                  <c:v>-0.026529636711280946</c:v>
                </c:pt>
                <c:pt idx="220">
                  <c:v>0.0004910385465257683</c:v>
                </c:pt>
                <c:pt idx="221">
                  <c:v>-0.003926380368098226</c:v>
                </c:pt>
                <c:pt idx="222">
                  <c:v>0.05173688100517371</c:v>
                </c:pt>
                <c:pt idx="223">
                  <c:v>-0.19372218318107282</c:v>
                </c:pt>
                <c:pt idx="224">
                  <c:v>-0.010749564206856466</c:v>
                </c:pt>
                <c:pt idx="225">
                  <c:v>0.0393538913362701</c:v>
                </c:pt>
                <c:pt idx="226">
                  <c:v>-0.020909861542808605</c:v>
                </c:pt>
                <c:pt idx="227">
                  <c:v>0.01558441558441559</c:v>
                </c:pt>
                <c:pt idx="228">
                  <c:v>0.023017902813299296</c:v>
                </c:pt>
                <c:pt idx="229">
                  <c:v>-0.06333333333333335</c:v>
                </c:pt>
                <c:pt idx="230">
                  <c:v>0.001779359430605032</c:v>
                </c:pt>
                <c:pt idx="231">
                  <c:v>0.007696862048549358</c:v>
                </c:pt>
                <c:pt idx="232">
                  <c:v>-0.0799059929494712</c:v>
                </c:pt>
                <c:pt idx="233">
                  <c:v>0.03065134099616862</c:v>
                </c:pt>
                <c:pt idx="234">
                  <c:v>-0.008983890954151308</c:v>
                </c:pt>
                <c:pt idx="235">
                  <c:v>-0.01125351672397612</c:v>
                </c:pt>
                <c:pt idx="236">
                  <c:v>0.029718621561808378</c:v>
                </c:pt>
                <c:pt idx="237">
                  <c:v>-0.07859993859379788</c:v>
                </c:pt>
                <c:pt idx="238">
                  <c:v>-0.05264911696101304</c:v>
                </c:pt>
                <c:pt idx="239">
                  <c:v>-0.012310939148786448</c:v>
                </c:pt>
                <c:pt idx="240">
                  <c:v>0.0007122507122505617</c:v>
                </c:pt>
                <c:pt idx="241">
                  <c:v>0.1469750889679715</c:v>
                </c:pt>
                <c:pt idx="242">
                  <c:v>-0.04064536146447417</c:v>
                </c:pt>
                <c:pt idx="243">
                  <c:v>0.03945666235446299</c:v>
                </c:pt>
                <c:pt idx="244">
                  <c:v>-0.0616054760423147</c:v>
                </c:pt>
                <c:pt idx="245">
                  <c:v>-0.0411140583554378</c:v>
                </c:pt>
                <c:pt idx="246">
                  <c:v>-0.053250345781466035</c:v>
                </c:pt>
                <c:pt idx="247">
                  <c:v>0.016435354273192093</c:v>
                </c:pt>
                <c:pt idx="248">
                  <c:v>0.06180380883938197</c:v>
                </c:pt>
                <c:pt idx="249">
                  <c:v>0.020812182741116736</c:v>
                </c:pt>
                <c:pt idx="250">
                  <c:v>0.06447870048068971</c:v>
                </c:pt>
                <c:pt idx="251">
                  <c:v>-0.06711304889442549</c:v>
                </c:pt>
                <c:pt idx="252">
                  <c:v>-0.020697713236521365</c:v>
                </c:pt>
                <c:pt idx="253">
                  <c:v>-0.013124254303732874</c:v>
                </c:pt>
                <c:pt idx="254">
                  <c:v>-0.03488773747841112</c:v>
                </c:pt>
                <c:pt idx="255">
                  <c:v>0.07927702219040822</c:v>
                </c:pt>
                <c:pt idx="256">
                  <c:v>-0.0210578676836346</c:v>
                </c:pt>
                <c:pt idx="257">
                  <c:v>0.017615176151761558</c:v>
                </c:pt>
                <c:pt idx="258">
                  <c:v>0.021471371504660608</c:v>
                </c:pt>
                <c:pt idx="259">
                  <c:v>0.0021182988430827887</c:v>
                </c:pt>
                <c:pt idx="260">
                  <c:v>0.047642276422764196</c:v>
                </c:pt>
              </c:numCache>
            </c:numRef>
          </c:yVal>
        </c:ser>
        <c:dLbls>
          <c:showLegendKey val="0"/>
          <c:showVal val="0"/>
          <c:showCatName val="0"/>
          <c:showSerName val="0"/>
          <c:showPercent val="0"/>
          <c:showBubbleSize val="0"/>
        </c:dLbls>
        <c:axId val="11506991"/>
        <c:axId val="48087198"/>
      </c:scatterChart>
      <c:valAx>
        <c:axId val="48087198"/>
        <c:scaling>
          <c:orientation val="minMax"/>
        </c:scaling>
        <c:delete val="0"/>
        <c:axPos val="l"/>
        <c:majorGridlines>
          <c:spPr>
            <a:ln xmlns:a="http://schemas.openxmlformats.org/drawingml/2006/main" w="0">
              <a:solidFill>
                <a:srgbClr val="B3B3B3"/>
              </a:solidFill>
            </a:ln>
          </c:spPr>
        </c:majorGridlines>
        <c:title>
          <c:tx>
            <c:rich>
              <a:bodyPr xmlns:a="http://schemas.openxmlformats.org/drawingml/2006/main"/>
              <a:lstStyle xmlns:a="http://schemas.openxmlformats.org/drawingml/2006/main"/>
              <a:p xmlns:a="http://schemas.openxmlformats.org/drawingml/2006/main">
                <a:r>
                  <a:rPr sz="1000" b="1" spc="-1">
                    <a:solidFill>
                      <a:srgbClr val="000000"/>
                    </a:solidFill>
                    <a:latin typeface="Aptos Narrow"/>
                    <a:ea typeface="Aptos Narrow"/>
                    <a:cs typeface="Aptos Narrow"/>
                  </a:rPr>
                  <a:t>Ferrari weekly return</a:t>
                </a:r>
              </a:p>
            </c:rich>
          </c:tx>
          <c:layout>
            <c:manualLayout>
              <c:xMode val="edge"/>
              <c:yMode val="edge"/>
              <c:x val="0.010309278350515464"/>
              <c:y val="0.2894136309844038"/>
            </c:manualLayout>
          </c:layout>
          <c:overlay val="0"/>
          <c:txPr>
            <a:bodyPr xmlns:a="http://schemas.openxmlformats.org/drawingml/2006/main" anchorCtr="1"/>
            <a:lstStyle xmlns:a="http://schemas.openxmlformats.org/drawingml/2006/main"/>
            <a:p xmlns:a="http://schemas.openxmlformats.org/drawingml/2006/main">
              <a:pPr>
                <a:defRPr sz="1000" b="1" spc="-1">
                  <a:solidFill>
                    <a:srgbClr val="000000"/>
                  </a:solidFill>
                  <a:latin typeface="Aptos Narrow"/>
                  <a:ea typeface="Aptos Narrow"/>
                  <a:cs typeface="Aptos Narrow"/>
                </a:defRPr>
              </a:pPr>
            </a:p>
          </c:txPr>
        </c:title>
        <c:numFmt formatCode="0%" sourceLinked="0"/>
        <c:majorTickMark val="none"/>
        <c:minorTickMark val="none"/>
        <c:tickLblPos val="nextTo"/>
        <c:spPr>
          <a:ln xmlns:a="http://schemas.openxmlformats.org/drawingml/2006/main" w="0">
            <a:solidFill>
              <a:srgbClr val="B3B3B3"/>
            </a:solidFill>
          </a:ln>
        </c:spPr>
        <c:txPr>
          <a:bodyPr xmlns:a="http://schemas.openxmlformats.org/drawingml/2006/main" anchorCtr="1"/>
          <a:lstStyle xmlns:a="http://schemas.openxmlformats.org/drawingml/2006/main"/>
          <a:p xmlns:a="http://schemas.openxmlformats.org/drawingml/2006/main">
            <a:pPr>
              <a:defRPr sz="1000" b="0" spc="-1">
                <a:solidFill>
                  <a:srgbClr val="000000"/>
                </a:solidFill>
                <a:latin typeface="Aptos Narrow"/>
                <a:ea typeface="Aptos Narrow"/>
                <a:cs typeface="Aptos Narrow"/>
              </a:defRPr>
            </a:pPr>
          </a:p>
        </c:txPr>
        <c:crossAx val="11506991"/>
        <c:crosses val="autoZero"/>
        <c:crossBetween val="midCat"/>
      </c:valAx>
      <c:valAx>
        <c:axId val="11506991"/>
        <c:scaling>
          <c:orientation val="minMax"/>
        </c:scaling>
        <c:delete val="0"/>
        <c:axPos val="b"/>
        <c:majorGridlines>
          <c:spPr>
            <a:ln xmlns:a="http://schemas.openxmlformats.org/drawingml/2006/main" w="0">
              <a:solidFill>
                <a:srgbClr val="B3B3B3"/>
              </a:solidFill>
            </a:ln>
          </c:spPr>
        </c:majorGridlines>
        <c:title>
          <c:tx>
            <c:rich>
              <a:bodyPr xmlns:a="http://schemas.openxmlformats.org/drawingml/2006/main"/>
              <a:lstStyle xmlns:a="http://schemas.openxmlformats.org/drawingml/2006/main"/>
              <a:p xmlns:a="http://schemas.openxmlformats.org/drawingml/2006/main">
                <a:r>
                  <a:rPr sz="1000" b="1" spc="-1">
                    <a:solidFill>
                      <a:srgbClr val="000000"/>
                    </a:solidFill>
                    <a:latin typeface="Aptos Narrow"/>
                    <a:ea typeface="Aptos Narrow"/>
                    <a:cs typeface="Aptos Narrow"/>
                  </a:rPr>
                  <a:t>Stoxx Europe 600 weekly return</a:t>
                </a:r>
              </a:p>
            </c:rich>
          </c:tx>
          <c:overlay val="0"/>
          <c:txPr>
            <a:bodyPr xmlns:a="http://schemas.openxmlformats.org/drawingml/2006/main" anchorCtr="1"/>
            <a:lstStyle xmlns:a="http://schemas.openxmlformats.org/drawingml/2006/main"/>
            <a:p xmlns:a="http://schemas.openxmlformats.org/drawingml/2006/main">
              <a:pPr>
                <a:defRPr sz="1000" b="1" spc="-1">
                  <a:solidFill>
                    <a:srgbClr val="000000"/>
                  </a:solidFill>
                  <a:latin typeface="Aptos Narrow"/>
                  <a:ea typeface="Aptos Narrow"/>
                  <a:cs typeface="Aptos Narrow"/>
                </a:defRPr>
              </a:pPr>
            </a:p>
          </c:txPr>
        </c:title>
        <c:numFmt formatCode="0%" sourceLinked="0"/>
        <c:majorTickMark val="none"/>
        <c:minorTickMark val="none"/>
        <c:tickLblPos val="nextTo"/>
        <c:spPr>
          <a:ln xmlns:a="http://schemas.openxmlformats.org/drawingml/2006/main" w="0">
            <a:solidFill>
              <a:srgbClr val="B3B3B3"/>
            </a:solidFill>
          </a:ln>
        </c:spPr>
        <c:txPr>
          <a:bodyPr xmlns:a="http://schemas.openxmlformats.org/drawingml/2006/main" anchorCtr="1"/>
          <a:lstStyle xmlns:a="http://schemas.openxmlformats.org/drawingml/2006/main"/>
          <a:p xmlns:a="http://schemas.openxmlformats.org/drawingml/2006/main">
            <a:pPr>
              <a:defRPr sz="1000" b="0" spc="-1">
                <a:solidFill>
                  <a:srgbClr val="000000"/>
                </a:solidFill>
                <a:latin typeface="Aptos Narrow"/>
                <a:ea typeface="Aptos Narrow"/>
                <a:cs typeface="Aptos Narrow"/>
              </a:defRPr>
            </a:pPr>
          </a:p>
        </c:txPr>
        <c:crossAx val="48087198"/>
        <c:crosses val="autoZero"/>
        <c:crossBetween val="midCat"/>
      </c:valAx>
      <c:spPr>
        <a:noFill xmlns:a="http://schemas.openxmlformats.org/drawingml/2006/main"/>
        <a:ln xmlns:a="http://schemas.openxmlformats.org/drawingml/2006/main" w="0">
          <a:noFill/>
        </a:ln>
      </c:spPr>
    </c:plotArea>
    <c:plotVisOnly val="1"/>
  </c:chart>
  <c:spPr>
    <a:solidFill xmlns:a="http://schemas.openxmlformats.org/drawingml/2006/main">
      <a:srgbClr val="FFFFFF"/>
    </a:solidFill>
    <a:ln xmlns:a="http://schemas.openxmlformats.org/drawingml/2006/main" w="9360">
      <a:solidFill>
        <a:srgbClr val="D9D9D9"/>
      </a:solidFill>
    </a:ln>
  </c:spPr>
</c:chartSpace>
</file>

<file path=xl/drawings/charts/chart3.xml><?xml version="1.0" encoding="utf-8"?>
<c:chartSpace xmlns:c="http://schemas.openxmlformats.org/drawingml/2006/chart">
  <c:lang val="en-US"/>
  <c:roundedCorners val="0"/>
  <c:style val="2"/>
  <c:chart>
    <c:title>
      <c:tx>
        <c:rich>
          <a:bodyPr xmlns:a="http://schemas.openxmlformats.org/drawingml/2006/main"/>
          <a:lstStyle xmlns:a="http://schemas.openxmlformats.org/drawingml/2006/main"/>
          <a:p xmlns:a="http://schemas.openxmlformats.org/drawingml/2006/main">
            <a:r>
              <a:rPr sz="1400" b="0" spc="-1">
                <a:solidFill>
                  <a:srgbClr val="595959"/>
                </a:solidFill>
                <a:latin typeface="Aptos Narrow"/>
                <a:ea typeface="Aptos Narrow"/>
                <a:cs typeface="Aptos Narrow"/>
              </a:rPr>
              <a:t>Net revenues by segment</a:t>
            </a:r>
          </a:p>
        </c:rich>
      </c:tx>
      <c:overlay val="0"/>
      <c:txPr>
        <a:bodyPr xmlns:a="http://schemas.openxmlformats.org/drawingml/2006/main" anchorCtr="1"/>
        <a:lstStyle xmlns:a="http://schemas.openxmlformats.org/drawingml/2006/main"/>
        <a:p xmlns:a="http://schemas.openxmlformats.org/drawingml/2006/main">
          <a:pPr>
            <a:defRPr sz="1400" b="0" spc="-1">
              <a:solidFill>
                <a:srgbClr val="595959"/>
              </a:solidFill>
              <a:latin typeface="Aptos Narrow"/>
              <a:ea typeface="Aptos Narrow"/>
              <a:cs typeface="Aptos Narrow"/>
            </a:defRPr>
          </a:pPr>
        </a:p>
      </c:txPr>
    </c:title>
    <c:autoTitleDeleted val="0"/>
    <c:plotArea>
      <c:doughnutChart>
        <c:ser>
          <c:idx val="0"/>
          <c:order val="0"/>
          <c:spPr>
            <a:solidFill xmlns:a="http://schemas.openxmlformats.org/drawingml/2006/main">
              <a:srgbClr val="C00000"/>
            </a:solidFill>
            <a:ln xmlns:a="http://schemas.openxmlformats.org/drawingml/2006/main" w="0">
              <a:noFill/>
            </a:ln>
          </c:spPr>
          <c:dPt>
            <c:idx val="0"/>
            <c:spPr>
              <a:solidFill xmlns:a="http://schemas.openxmlformats.org/drawingml/2006/main">
                <a:srgbClr val="C00000"/>
              </a:solidFill>
              <a:ln xmlns:a="http://schemas.openxmlformats.org/drawingml/2006/main" w="19080">
                <a:solidFill>
                  <a:srgbClr val="FFFFFF"/>
                </a:solidFill>
              </a:ln>
            </c:spPr>
          </c:dPt>
          <c:dPt>
            <c:idx val="1"/>
            <c:spPr>
              <a:solidFill xmlns:a="http://schemas.openxmlformats.org/drawingml/2006/main">
                <a:srgbClr val="595959"/>
              </a:solidFill>
              <a:ln xmlns:a="http://schemas.openxmlformats.org/drawingml/2006/main" w="19080">
                <a:solidFill>
                  <a:srgbClr val="FFFFFF"/>
                </a:solidFill>
              </a:ln>
            </c:spPr>
          </c:dPt>
          <c:dPt>
            <c:idx val="2"/>
            <c:spPr>
              <a:solidFill xmlns:a="http://schemas.openxmlformats.org/drawingml/2006/main">
                <a:srgbClr val="D9D9D9"/>
              </a:solidFill>
              <a:ln xmlns:a="http://schemas.openxmlformats.org/drawingml/2006/main" w="19080">
                <a:solidFill>
                  <a:srgbClr val="FFFFFF"/>
                </a:solidFill>
              </a:ln>
            </c:spPr>
          </c:dPt>
          <c:dLbls>
            <c:dLbl>
              <c:idx val="0"/>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showLegendKey val="0"/>
              <c:showVal val="1"/>
              <c:showCatName val="0"/>
              <c:showSerName val="0"/>
              <c:showPercent val="1"/>
              <c:showBubbleSize val="0"/>
            </c:dLbl>
            <c:dLbl>
              <c:idx val="1"/>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showLegendKey val="0"/>
              <c:showVal val="1"/>
              <c:showCatName val="0"/>
              <c:showSerName val="0"/>
              <c:showPercent val="1"/>
              <c:showBubbleSize val="0"/>
            </c:dLbl>
            <c:dLbl>
              <c:idx val="2"/>
              <c:txPr>
                <a:bodyPr xmlns:a="http://schemas.openxmlformats.org/drawingml/2006/main" anchorCtr="1"/>
                <a:lstStyle xmlns:a="http://schemas.openxmlformats.org/drawingml/2006/main"/>
                <a:p xmlns:a="http://schemas.openxmlformats.org/drawingml/2006/main">
                  <a:pPr>
                    <a:defRPr sz="900" b="0" spc="-1">
                      <a:solidFill>
                        <a:srgbClr val="000000"/>
                      </a:solidFill>
                      <a:latin typeface="Aptos Narrow"/>
                      <a:ea typeface="Aptos Narrow"/>
                      <a:cs typeface="Aptos Narrow"/>
                    </a:defRPr>
                  </a:pPr>
                </a:p>
              </c:txPr>
              <c:showLegendKey val="0"/>
              <c:showVal val="1"/>
              <c:showCatName val="0"/>
              <c:showSerName val="0"/>
              <c:showPercent val="1"/>
              <c:showBubbleSize val="0"/>
            </c:dLbl>
            <c:numFmt formatCode="0.0%" sourceLinked="0"/>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showLegendKey val="0"/>
            <c:showVal val="1"/>
            <c:showCatName val="0"/>
            <c:showSerName val="0"/>
            <c:showPercent val="1"/>
            <c:showBubbleSize val="0"/>
            <c:separator>
</c:separator>
            <c:showLeaderLines val="1"/>
          </c:dLbls>
          <c:cat>
            <c:strRef>
              <c:f>'Revenue Recognition'!$C$16:$C$18</c:f>
              <c:strCache>
                <c:ptCount val="3"/>
                <c:pt idx="0">
                  <c:v>Cars and spare parts</c:v>
                </c:pt>
                <c:pt idx="1">
                  <c:v>Sponsorship, commercial and brand</c:v>
                </c:pt>
                <c:pt idx="2">
                  <c:v>Other</c:v>
                </c:pt>
              </c:strCache>
            </c:strRef>
          </c:cat>
          <c:val>
            <c:numRef>
              <c:f>'Revenue Recognition'!$K$16:$K$18</c:f>
              <c:numCache>
                <c:formatCode>0.0%</c:formatCode>
                <c:ptCount val="3"/>
                <c:pt idx="0">
                  <c:v>0.8403915436381366</c:v>
                </c:pt>
                <c:pt idx="1">
                  <c:v>0.11469040136763466</c:v>
                </c:pt>
                <c:pt idx="2">
                  <c:v>0.044918054994228754</c:v>
                </c:pt>
              </c:numCache>
            </c:numRef>
          </c:val>
        </c:ser>
        <c:dLbls>
          <c:showLegendKey val="0"/>
          <c:showVal val="0"/>
          <c:showCatName val="0"/>
          <c:showSerName val="0"/>
          <c:showPercent val="0"/>
          <c:showBubbleSize val="0"/>
          <c:showLeaderLines val="1"/>
        </c:dLbls>
        <c:firstSliceAng val="0"/>
        <c:holeSize val="50"/>
      </c:doughnutChart>
      <c:spPr>
        <a:noFill xmlns:a="http://schemas.openxmlformats.org/drawingml/2006/main"/>
        <a:ln xmlns:a="http://schemas.openxmlformats.org/drawingml/2006/main" w="0">
          <a:noFill/>
        </a:ln>
      </c:spPr>
    </c:plotArea>
    <c:legend>
      <c:legendPos val="b"/>
      <c:overlay val="0"/>
      <c:spPr>
        <a:noFill xmlns:a="http://schemas.openxmlformats.org/drawingml/2006/mai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legend>
    <c:plotVisOnly val="1"/>
  </c:chart>
  <c:spPr>
    <a:solidFill xmlns:a="http://schemas.openxmlformats.org/drawingml/2006/main">
      <a:srgbClr val="FFFFFF"/>
    </a:solidFill>
    <a:ln xmlns:a="http://schemas.openxmlformats.org/drawingml/2006/main" w="9360">
      <a:solidFill>
        <a:srgbClr val="D9D9D9"/>
      </a:solidFill>
    </a:ln>
  </c:spPr>
</c:chartSpace>
</file>

<file path=xl/drawings/charts/chart4.xml><?xml version="1.0" encoding="utf-8"?>
<c:chartSpace xmlns:c="http://schemas.openxmlformats.org/drawingml/2006/chart">
  <c:lang val="en-US"/>
  <c:roundedCorners val="0"/>
  <c:style val="2"/>
  <c:chart>
    <c:title>
      <c:tx>
        <c:rich>
          <a:bodyPr xmlns:a="http://schemas.openxmlformats.org/drawingml/2006/main"/>
          <a:lstStyle xmlns:a="http://schemas.openxmlformats.org/drawingml/2006/main"/>
          <a:p xmlns:a="http://schemas.openxmlformats.org/drawingml/2006/main">
            <a:r>
              <a:rPr sz="1400" b="0" spc="-1">
                <a:solidFill>
                  <a:srgbClr val="000000"/>
                </a:solidFill>
                <a:latin typeface="Aptos Narrow"/>
                <a:ea typeface="Aptos Narrow"/>
                <a:cs typeface="Aptos Narrow"/>
              </a:rPr>
              <a:t>Net revenues by segment</a:t>
            </a:r>
          </a:p>
        </c:rich>
      </c:tx>
      <c:overlay val="0"/>
      <c:txPr>
        <a:bodyPr xmlns:a="http://schemas.openxmlformats.org/drawingml/2006/main" anchorCtr="1"/>
        <a:lstStyle xmlns:a="http://schemas.openxmlformats.org/drawingml/2006/main"/>
        <a:p xmlns:a="http://schemas.openxmlformats.org/drawingml/2006/main">
          <a:pPr>
            <a:defRPr sz="1400" b="0" spc="-1">
              <a:solidFill>
                <a:srgbClr val="000000"/>
              </a:solidFill>
              <a:latin typeface="Aptos Narrow"/>
              <a:ea typeface="Aptos Narrow"/>
              <a:cs typeface="Aptos Narrow"/>
            </a:defRPr>
          </a:pPr>
        </a:p>
      </c:txPr>
    </c:title>
    <c:autoTitleDeleted val="0"/>
    <c:plotArea>
      <c:barChart>
        <c:barDir val="bar"/>
        <c:grouping val="clustered"/>
        <c:varyColors val="0"/>
        <c:ser>
          <c:idx val="0"/>
          <c:order val="0"/>
          <c:spPr>
            <a:solidFill xmlns:a="http://schemas.openxmlformats.org/drawingml/2006/main">
              <a:srgbClr val="0F9ED5"/>
            </a:solidFill>
            <a:ln xmlns:a="http://schemas.openxmlformats.org/drawingml/2006/main" w="0">
              <a:noFill/>
            </a:ln>
          </c:spPr>
          <c:dPt>
            <c:idx val="0"/>
            <c:invertIfNegative val="0"/>
            <c:spPr>
              <a:solidFill xmlns:a="http://schemas.openxmlformats.org/drawingml/2006/main">
                <a:srgbClr val="C00000"/>
              </a:solidFill>
              <a:ln xmlns:a="http://schemas.openxmlformats.org/drawingml/2006/main" w="0">
                <a:noFill/>
              </a:ln>
            </c:spPr>
          </c:dPt>
          <c:dPt>
            <c:idx val="1"/>
            <c:invertIfNegative val="0"/>
            <c:spPr>
              <a:solidFill xmlns:a="http://schemas.openxmlformats.org/drawingml/2006/main">
                <a:srgbClr val="808080"/>
              </a:solidFill>
              <a:ln xmlns:a="http://schemas.openxmlformats.org/drawingml/2006/main" w="0">
                <a:noFill/>
              </a:ln>
            </c:spPr>
          </c:dPt>
          <c:dPt>
            <c:idx val="2"/>
            <c:invertIfNegative val="0"/>
            <c:spPr>
              <a:solidFill xmlns:a="http://schemas.openxmlformats.org/drawingml/2006/main">
                <a:srgbClr val="D9D9D9"/>
              </a:solidFill>
              <a:ln xmlns:a="http://schemas.openxmlformats.org/drawingml/2006/main" w="0">
                <a:noFill/>
              </a:ln>
            </c:spPr>
          </c:dPt>
          <c:dLbls>
            <c:dLbl>
              <c:idx val="0"/>
              <c:txPr>
                <a:bodyPr xmlns:a="http://schemas.openxmlformats.org/drawingml/2006/main" anchorCtr="1"/>
                <a:lstStyle xmlns:a="http://schemas.openxmlformats.org/drawingml/2006/main"/>
                <a:p xmlns:a="http://schemas.openxmlformats.org/drawingml/2006/main">
                  <a:pPr>
                    <a:defRPr sz="900" b="0" spc="-1">
                      <a:solidFill>
                        <a:srgbClr val="808080"/>
                      </a:solidFill>
                      <a:latin typeface="Aptos Narrow"/>
                      <a:ea typeface="Aptos Narrow"/>
                      <a:cs typeface="Aptos Narrow"/>
                    </a:defRPr>
                  </a:pPr>
                </a:p>
              </c:txPr>
              <c:dLblPos val="outEnd"/>
              <c:showLegendKey val="0"/>
              <c:showVal val="1"/>
              <c:showCatName val="0"/>
              <c:showSerName val="0"/>
              <c:showPercent val="0"/>
              <c:showBubbleSize val="1"/>
            </c:dLbl>
            <c:dLbl>
              <c:idx val="1"/>
              <c:txPr>
                <a:bodyPr xmlns:a="http://schemas.openxmlformats.org/drawingml/2006/main" anchorCtr="1"/>
                <a:lstStyle xmlns:a="http://schemas.openxmlformats.org/drawingml/2006/main"/>
                <a:p xmlns:a="http://schemas.openxmlformats.org/drawingml/2006/main">
                  <a:pPr>
                    <a:defRPr sz="900" b="0" spc="-1">
                      <a:solidFill>
                        <a:srgbClr val="808080"/>
                      </a:solidFill>
                      <a:latin typeface="Aptos Narrow"/>
                      <a:ea typeface="Aptos Narrow"/>
                      <a:cs typeface="Aptos Narrow"/>
                    </a:defRPr>
                  </a:pPr>
                </a:p>
              </c:txPr>
              <c:dLblPos val="outEnd"/>
              <c:showLegendKey val="0"/>
              <c:showVal val="1"/>
              <c:showCatName val="0"/>
              <c:showSerName val="0"/>
              <c:showPercent val="0"/>
              <c:showBubbleSize val="1"/>
            </c:dLbl>
            <c:dLbl>
              <c:idx val="2"/>
              <c:txPr>
                <a:bodyPr xmlns:a="http://schemas.openxmlformats.org/drawingml/2006/main" anchorCtr="1"/>
                <a:lstStyle xmlns:a="http://schemas.openxmlformats.org/drawingml/2006/main"/>
                <a:p xmlns:a="http://schemas.openxmlformats.org/drawingml/2006/main">
                  <a:pPr>
                    <a:defRPr sz="900" b="0" spc="-1">
                      <a:solidFill>
                        <a:srgbClr val="808080"/>
                      </a:solidFill>
                      <a:latin typeface="Aptos Narrow"/>
                      <a:ea typeface="Aptos Narrow"/>
                      <a:cs typeface="Aptos Narrow"/>
                    </a:defRPr>
                  </a:pPr>
                </a:p>
              </c:txPr>
              <c:dLblPos val="outEnd"/>
              <c:showLegendKey val="0"/>
              <c:showVal val="1"/>
              <c:showCatName val="0"/>
              <c:showSerName val="0"/>
              <c:showPercent val="0"/>
              <c:showBubbleSize val="1"/>
            </c:dLbl>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808080"/>
                    </a:solidFill>
                    <a:latin typeface="Aptos Narrow"/>
                    <a:ea typeface="Aptos Narrow"/>
                    <a:cs typeface="Aptos Narrow"/>
                  </a:defRPr>
                </a:pPr>
              </a:p>
            </c:txPr>
            <c:dLblPos val="outEnd"/>
            <c:showLegendKey val="0"/>
            <c:showVal val="1"/>
            <c:showCatName val="0"/>
            <c:showSerName val="0"/>
            <c:showPercent val="0"/>
            <c:showBubbleSize val="1"/>
            <c:separator>; </c:separator>
            <c:showLeaderLines val="0"/>
          </c:dLbls>
          <c:cat>
            <c:strRef>
              <c:f>'Revenue Recognition'!$C$10:$C$12</c:f>
              <c:strCache>
                <c:ptCount val="3"/>
                <c:pt idx="0">
                  <c:v>Cars and spare parts</c:v>
                </c:pt>
                <c:pt idx="1">
                  <c:v>Sponsorship, commercial and brand</c:v>
                </c:pt>
                <c:pt idx="2">
                  <c:v>Other (incl. engines until FY2023)</c:v>
                </c:pt>
              </c:strCache>
            </c:strRef>
          </c:cat>
          <c:val>
            <c:numRef>
              <c:f>'Revenue Recognition'!$K$10:$K$12</c:f>
              <c:numCache>
                <c:formatCode>#,##0</c:formatCode>
                <c:ptCount val="3"/>
                <c:pt idx="0">
                  <c:v>6005243</c:v>
                </c:pt>
                <c:pt idx="1">
                  <c:v>819551</c:v>
                </c:pt>
                <c:pt idx="2">
                  <c:v>320974</c:v>
                </c:pt>
              </c:numCache>
            </c:numRef>
          </c:val>
        </c:ser>
        <c:dLbls>
          <c:showLegendKey val="0"/>
          <c:showVal val="0"/>
          <c:showCatName val="0"/>
          <c:showSerName val="0"/>
          <c:showPercent val="0"/>
          <c:showBubbleSize val="0"/>
        </c:dLbls>
        <c:gapWidth val="182"/>
        <c:axId val="60379163"/>
        <c:axId val="87377344"/>
      </c:barChart>
      <c:catAx>
        <c:axId val="60379163"/>
        <c:scaling>
          <c:orientation val="maxMin"/>
        </c:scaling>
        <c:delete val="0"/>
        <c:axPos val="l"/>
        <c:numFmt formatCode="General" sourceLinked="0"/>
        <c:majorTickMark val="none"/>
        <c:minorTickMark val="none"/>
        <c:tickLblPos val="nextTo"/>
        <c:spPr>
          <a:ln xmlns:a="http://schemas.openxmlformats.org/drawingml/2006/main" w="9360">
            <a:solidFill>
              <a:srgbClr val="D9D9D9"/>
            </a:solidFill>
          </a:l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crossAx val="87377344"/>
        <c:crosses val="autoZero"/>
        <c:lblOffset val="100"/>
      </c:catAx>
      <c:valAx>
        <c:axId val="87377344"/>
        <c:scaling>
          <c:orientation val="minMax"/>
        </c:scaling>
        <c:delete val="0"/>
        <c:axPos val="b"/>
        <c:majorGridlines>
          <c:spPr>
            <a:ln xmlns:a="http://schemas.openxmlformats.org/drawingml/2006/main" w="9360">
              <a:solidFill>
                <a:srgbClr val="D9D9D9"/>
              </a:solidFill>
            </a:ln>
          </c:spPr>
        </c:majorGridlines>
        <c:numFmt formatCode="#,##0" sourceLinked="0"/>
        <c:majorTickMark val="none"/>
        <c:minorTickMark val="none"/>
        <c:tickLblPos val="high"/>
        <c:spPr>
          <a:ln xmlns:a="http://schemas.openxmlformats.org/drawingml/2006/main" w="12600">
            <a:noFill/>
          </a:l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crossAx val="60379163"/>
        <c:crosses val="autoZero"/>
        <c:crossBetween val="between"/>
      </c:valAx>
      <c:spPr>
        <a:noFill xmlns:a="http://schemas.openxmlformats.org/drawingml/2006/main"/>
        <a:ln xmlns:a="http://schemas.openxmlformats.org/drawingml/2006/main" w="0">
          <a:noFill/>
        </a:ln>
      </c:spPr>
    </c:plotArea>
    <c:plotVisOnly val="1"/>
  </c:chart>
  <c:spPr>
    <a:solidFill xmlns:a="http://schemas.openxmlformats.org/drawingml/2006/main">
      <a:srgbClr val="FFFFFF"/>
    </a:solidFill>
    <a:ln xmlns:a="http://schemas.openxmlformats.org/drawingml/2006/main" w="9360">
      <a:solidFill>
        <a:srgbClr val="D9D9D9"/>
      </a:solidFill>
    </a:ln>
  </c:spPr>
</c:chartSpace>
</file>

<file path=xl/drawings/charts/chart5.xml><?xml version="1.0" encoding="utf-8"?>
<c:chartSpace xmlns:c="http://schemas.openxmlformats.org/drawingml/2006/chart">
  <c:lang val="en-US"/>
  <c:roundedCorners val="0"/>
  <c:style val="2"/>
  <c:chart>
    <c:autoTitleDeleted val="0"/>
    <c:plotArea>
      <c:barChart>
        <c:barDir val="col"/>
        <c:grouping val="stacked"/>
        <c:varyColors val="0"/>
        <c:ser>
          <c:idx val="0"/>
          <c:order val="0"/>
          <c:tx>
            <c:strRef>
              <c:f>'Info &amp; Assumptions'!$P$25</c:f>
              <c:strCache>
                <c:ptCount val="1"/>
                <c:pt idx="0">
                  <c:v>EMEA</c:v>
                </c:pt>
              </c:strCache>
            </c:strRef>
          </c:tx>
          <c:spPr>
            <a:solidFill xmlns:a="http://schemas.openxmlformats.org/drawingml/2006/main">
              <a:srgbClr val="C00000"/>
            </a:solidFill>
            <a:ln xmlns:a="http://schemas.openxmlformats.org/drawingml/2006/main" w="0">
              <a:noFill/>
            </a:ln>
          </c:spP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dLblPos val="ctr"/>
            <c:showLegendKey val="0"/>
            <c:showVal val="1"/>
            <c:showCatName val="0"/>
            <c:showSerName val="0"/>
            <c:showPercent val="0"/>
            <c:showBubbleSize val="1"/>
            <c:separator>; </c:separator>
            <c:showLeaderLines val="0"/>
          </c:dLbls>
          <c:cat>
            <c:strRef>
              <c:f>'Info &amp; Assumptions'!$S$24:$U$24</c:f>
              <c:strCache>
                <c:ptCount val="3"/>
                <c:pt idx="0">
                  <c:v>FY2023</c:v>
                </c:pt>
                <c:pt idx="1">
                  <c:v>FY2024</c:v>
                </c:pt>
                <c:pt idx="2">
                  <c:v>FY2025</c:v>
                </c:pt>
              </c:strCache>
            </c:strRef>
          </c:cat>
          <c:val>
            <c:numRef>
              <c:f>'Info &amp; Assumptions'!$S$25:$U$25</c:f>
              <c:numCache>
                <c:formatCode>#,##0</c:formatCode>
                <c:ptCount val="3"/>
                <c:pt idx="0">
                  <c:v>6063</c:v>
                </c:pt>
                <c:pt idx="1">
                  <c:v>6204</c:v>
                </c:pt>
                <c:pt idx="2">
                  <c:v>6346</c:v>
                </c:pt>
              </c:numCache>
            </c:numRef>
          </c:val>
        </c:ser>
        <c:ser>
          <c:idx val="1"/>
          <c:order val="1"/>
          <c:tx>
            <c:strRef>
              <c:f>'Info &amp; Assumptions'!$P$26</c:f>
              <c:strCache>
                <c:ptCount val="1"/>
                <c:pt idx="0">
                  <c:v>Americas</c:v>
                </c:pt>
              </c:strCache>
            </c:strRef>
          </c:tx>
          <c:spPr>
            <a:solidFill xmlns:a="http://schemas.openxmlformats.org/drawingml/2006/main">
              <a:srgbClr val="C00000"/>
            </a:solidFill>
            <a:ln xmlns:a="http://schemas.openxmlformats.org/drawingml/2006/main" w="0">
              <a:noFill/>
            </a:ln>
          </c:spP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dLblPos val="ctr"/>
            <c:showLegendKey val="0"/>
            <c:showVal val="1"/>
            <c:showCatName val="0"/>
            <c:showSerName val="0"/>
            <c:showPercent val="0"/>
            <c:showBubbleSize val="1"/>
            <c:separator>; </c:separator>
            <c:showLeaderLines val="0"/>
          </c:dLbls>
          <c:cat>
            <c:strRef>
              <c:f>'Info &amp; Assumptions'!$S$24:$U$24</c:f>
              <c:strCache>
                <c:ptCount val="3"/>
                <c:pt idx="0">
                  <c:v>FY2023</c:v>
                </c:pt>
                <c:pt idx="1">
                  <c:v>FY2024</c:v>
                </c:pt>
                <c:pt idx="2">
                  <c:v>FY2025</c:v>
                </c:pt>
              </c:strCache>
            </c:strRef>
          </c:cat>
          <c:val>
            <c:numRef>
              <c:f>'Info &amp; Assumptions'!$S$26:$U$26</c:f>
              <c:numCache>
                <c:formatCode>#,##0</c:formatCode>
                <c:ptCount val="3"/>
                <c:pt idx="0">
                  <c:v>3811</c:v>
                </c:pt>
                <c:pt idx="1">
                  <c:v>4003</c:v>
                </c:pt>
                <c:pt idx="2">
                  <c:v>3937</c:v>
                </c:pt>
              </c:numCache>
            </c:numRef>
          </c:val>
        </c:ser>
        <c:ser>
          <c:idx val="2"/>
          <c:order val="2"/>
          <c:tx>
            <c:strRef>
              <c:f>'Info &amp; Assumptions'!$P$27</c:f>
              <c:strCache>
                <c:ptCount val="1"/>
                <c:pt idx="0">
                  <c:v>Mainland China, Hong Kong &amp; Taiwan</c:v>
                </c:pt>
              </c:strCache>
            </c:strRef>
          </c:tx>
          <c:spPr>
            <a:solidFill xmlns:a="http://schemas.openxmlformats.org/drawingml/2006/main">
              <a:srgbClr val="C00000"/>
            </a:solidFill>
            <a:ln xmlns:a="http://schemas.openxmlformats.org/drawingml/2006/main" w="0">
              <a:noFill/>
            </a:ln>
          </c:spP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dLblPos val="ctr"/>
            <c:showLegendKey val="0"/>
            <c:showVal val="1"/>
            <c:showCatName val="0"/>
            <c:showSerName val="0"/>
            <c:showPercent val="0"/>
            <c:showBubbleSize val="1"/>
            <c:separator>; </c:separator>
            <c:showLeaderLines val="0"/>
          </c:dLbls>
          <c:cat>
            <c:strRef>
              <c:f>'Info &amp; Assumptions'!$S$24:$U$24</c:f>
              <c:strCache>
                <c:ptCount val="3"/>
                <c:pt idx="0">
                  <c:v>FY2023</c:v>
                </c:pt>
                <c:pt idx="1">
                  <c:v>FY2024</c:v>
                </c:pt>
                <c:pt idx="2">
                  <c:v>FY2025</c:v>
                </c:pt>
              </c:strCache>
            </c:strRef>
          </c:cat>
          <c:val>
            <c:numRef>
              <c:f>'Info &amp; Assumptions'!$S$27:$U$27</c:f>
              <c:numCache>
                <c:formatCode>#,##0</c:formatCode>
                <c:ptCount val="3"/>
                <c:pt idx="0">
                  <c:v>1490</c:v>
                </c:pt>
                <c:pt idx="1">
                  <c:v>1162</c:v>
                </c:pt>
                <c:pt idx="2">
                  <c:v>941</c:v>
                </c:pt>
              </c:numCache>
            </c:numRef>
          </c:val>
        </c:ser>
        <c:ser>
          <c:idx val="3"/>
          <c:order val="3"/>
          <c:tx>
            <c:strRef>
              <c:f>'Info &amp; Assumptions'!$P$28</c:f>
              <c:strCache>
                <c:ptCount val="1"/>
                <c:pt idx="0">
                  <c:v>Rest of APAC</c:v>
                </c:pt>
              </c:strCache>
            </c:strRef>
          </c:tx>
          <c:spPr>
            <a:solidFill xmlns:a="http://schemas.openxmlformats.org/drawingml/2006/main">
              <a:srgbClr val="C00000"/>
            </a:solidFill>
            <a:ln xmlns:a="http://schemas.openxmlformats.org/drawingml/2006/main" w="0">
              <a:noFill/>
            </a:ln>
          </c:spPr>
          <c:dLbls>
            <c:spPr>
              <a:noFill xmlns:a="http://schemas.openxmlformats.org/drawingml/2006/main"/>
              <a:ln xmlns:a="http://schemas.openxmlformats.org/drawingml/2006/main">
                <a:noFill/>
              </a:ln>
            </c:spPr>
            <c:txPr>
              <a:bodyPr xmlns:a="http://schemas.openxmlformats.org/drawingml/2006/main" anchorCtr="1"/>
              <a:lstStyle xmlns:a="http://schemas.openxmlformats.org/drawingml/2006/main"/>
              <a:p xmlns:a="http://schemas.openxmlformats.org/drawingml/2006/main">
                <a:pPr>
                  <a:defRPr sz="900" b="0" spc="-1">
                    <a:solidFill>
                      <a:srgbClr val="FFFFFF"/>
                    </a:solidFill>
                    <a:latin typeface="Aptos Narrow"/>
                    <a:ea typeface="Aptos Narrow"/>
                    <a:cs typeface="Aptos Narrow"/>
                  </a:defRPr>
                </a:pPr>
              </a:p>
            </c:txPr>
            <c:dLblPos val="ctr"/>
            <c:showLegendKey val="0"/>
            <c:showVal val="1"/>
            <c:showCatName val="0"/>
            <c:showSerName val="0"/>
            <c:showPercent val="0"/>
            <c:showBubbleSize val="1"/>
            <c:separator>; </c:separator>
            <c:showLeaderLines val="0"/>
          </c:dLbls>
          <c:cat>
            <c:strRef>
              <c:f>'Info &amp; Assumptions'!$S$24:$U$24</c:f>
              <c:strCache>
                <c:ptCount val="3"/>
                <c:pt idx="0">
                  <c:v>FY2023</c:v>
                </c:pt>
                <c:pt idx="1">
                  <c:v>FY2024</c:v>
                </c:pt>
                <c:pt idx="2">
                  <c:v>FY2025</c:v>
                </c:pt>
              </c:strCache>
            </c:strRef>
          </c:cat>
          <c:val>
            <c:numRef>
              <c:f>'Info &amp; Assumptions'!$S$28:$U$28</c:f>
              <c:numCache>
                <c:formatCode>#,##0</c:formatCode>
                <c:ptCount val="3"/>
                <c:pt idx="0">
                  <c:v>2299</c:v>
                </c:pt>
                <c:pt idx="1">
                  <c:v>2383</c:v>
                </c:pt>
                <c:pt idx="2">
                  <c:v>2416</c:v>
                </c:pt>
              </c:numCache>
            </c:numRef>
          </c:val>
        </c:ser>
        <c:dLbls>
          <c:showLegendKey val="0"/>
          <c:showVal val="0"/>
          <c:showCatName val="0"/>
          <c:showSerName val="0"/>
          <c:showPercent val="0"/>
          <c:showBubbleSize val="0"/>
        </c:dLbls>
        <c:gapWidth val="150"/>
        <c:overlap val="100"/>
        <c:axId val="9266562"/>
        <c:axId val="78719349"/>
      </c:barChart>
      <c:catAx>
        <c:axId val="9266562"/>
        <c:scaling>
          <c:orientation val="minMax"/>
        </c:scaling>
        <c:delete val="0"/>
        <c:axPos val="b"/>
        <c:numFmt formatCode="General" sourceLinked="0"/>
        <c:majorTickMark val="none"/>
        <c:minorTickMark val="none"/>
        <c:tickLblPos val="nextTo"/>
        <c:spPr>
          <a:ln xmlns:a="http://schemas.openxmlformats.org/drawingml/2006/main" w="9360">
            <a:solidFill>
              <a:srgbClr val="D9D9D9"/>
            </a:solidFill>
          </a:l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crossAx val="78719349"/>
        <c:crosses val="autoZero"/>
        <c:lblOffset val="100"/>
      </c:catAx>
      <c:valAx>
        <c:axId val="78719349"/>
        <c:scaling>
          <c:orientation val="minMax"/>
        </c:scaling>
        <c:delete val="0"/>
        <c:axPos val="l"/>
        <c:majorGridlines>
          <c:spPr>
            <a:ln xmlns:a="http://schemas.openxmlformats.org/drawingml/2006/main" w="9360">
              <a:solidFill>
                <a:srgbClr val="D9D9D9"/>
              </a:solidFill>
            </a:ln>
          </c:spPr>
        </c:majorGridlines>
        <c:numFmt formatCode="#,##0" sourceLinked="0"/>
        <c:majorTickMark val="none"/>
        <c:minorTickMark val="none"/>
        <c:tickLblPos val="nextTo"/>
        <c:spPr>
          <a:ln xmlns:a="http://schemas.openxmlformats.org/drawingml/2006/main" w="12600">
            <a:noFill/>
          </a:l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crossAx val="9266562"/>
        <c:crosses val="autoZero"/>
        <c:crossBetween val="between"/>
      </c:valAx>
      <c:spPr>
        <a:noFill xmlns:a="http://schemas.openxmlformats.org/drawingml/2006/main"/>
        <a:ln xmlns:a="http://schemas.openxmlformats.org/drawingml/2006/main" w="0">
          <a:noFill/>
        </a:ln>
      </c:spPr>
    </c:plotArea>
    <c:legend>
      <c:legendPos val="b"/>
      <c:overlay val="0"/>
      <c:spPr>
        <a:noFill xmlns:a="http://schemas.openxmlformats.org/drawingml/2006/main"/>
      </c:spPr>
      <c:txPr>
        <a:bodyPr xmlns:a="http://schemas.openxmlformats.org/drawingml/2006/main" anchorCtr="1"/>
        <a:lstStyle xmlns:a="http://schemas.openxmlformats.org/drawingml/2006/main"/>
        <a:p xmlns:a="http://schemas.openxmlformats.org/drawingml/2006/main">
          <a:pPr>
            <a:defRPr sz="900" b="0" spc="-1">
              <a:solidFill>
                <a:srgbClr val="595959"/>
              </a:solidFill>
              <a:latin typeface="Aptos Narrow"/>
              <a:ea typeface="Aptos Narrow"/>
              <a:cs typeface="Aptos Narrow"/>
            </a:defRPr>
          </a:pPr>
        </a:p>
      </c:txPr>
    </c:legend>
    <c:plotVisOnly val="1"/>
  </c:chart>
  <c:spPr>
    <a:solidFill xmlns:a="http://schemas.openxmlformats.org/drawingml/2006/main">
      <a:srgbClr val="FFFFFF"/>
    </a:solidFill>
    <a:ln xmlns:a="http://schemas.openxmlformats.org/drawingml/2006/main" w="9360">
      <a:solidFill>
        <a:srgbClr val="D9D9D9"/>
      </a:solidFill>
    </a:ln>
  </c:spPr>
</c:chartSpace>
</file>

<file path=xl/drawings/charts/chart6.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autoTitleDeleted val="1"/>
    <c:plotArea>
      <c:lineChart>
        <c:grouping val="standard"/>
        <c:varyColors val="0"/>
        <c:ser>
          <c:idx val="0"/>
          <c:order val="0"/>
          <c:tx>
            <c:strRef>
              <c:f>OTHER!$X$7</c:f>
              <c:strCache>
                <c:ptCount val="1"/>
                <c:pt idx="0">
                  <c:v>Ferrari (RACE IM)</c:v>
                </c:pt>
              </c:strCache>
            </c:strRef>
          </c:tx>
          <c:spPr>
            <a:ln xmlns:a="http://schemas.openxmlformats.org/drawingml/2006/main" w="28575">
              <a:solidFill>
                <a:srgbClr val="C00000"/>
              </a:solidFill>
            </a:ln>
          </c:spPr>
          <c:marker>
            <c:symbol val="none"/>
          </c:marker>
          <c:cat>
            <c:strRef>
              <c:f>OTHER!$W$8:$W$74</c:f>
              <c:strCache>
                <c:ptCount val="67"/>
                <c:pt idx="0">
                  <c:v>Jun-21</c:v>
                </c:pt>
                <c:pt idx="1">
                  <c:v>Jul-21</c:v>
                </c:pt>
                <c:pt idx="2">
                  <c:v>Aug-21</c:v>
                </c:pt>
                <c:pt idx="3">
                  <c:v>Sep-21</c:v>
                </c:pt>
                <c:pt idx="4">
                  <c:v>Oct-21</c:v>
                </c:pt>
                <c:pt idx="5">
                  <c:v>Nov-21</c:v>
                </c:pt>
                <c:pt idx="6">
                  <c:v>Dec-21</c:v>
                </c:pt>
                <c:pt idx="7">
                  <c:v>Jan-22</c:v>
                </c:pt>
                <c:pt idx="8">
                  <c:v>Feb-22</c:v>
                </c:pt>
                <c:pt idx="9">
                  <c:v>Mar-22</c:v>
                </c:pt>
                <c:pt idx="10">
                  <c:v>Apr-22</c:v>
                </c:pt>
                <c:pt idx="11">
                  <c:v>Apr-22</c:v>
                </c:pt>
                <c:pt idx="12">
                  <c:v>May-22</c:v>
                </c:pt>
                <c:pt idx="13">
                  <c:v>Jun-22</c:v>
                </c:pt>
                <c:pt idx="14">
                  <c:v>Jul-22</c:v>
                </c:pt>
                <c:pt idx="15">
                  <c:v>Aug-22</c:v>
                </c:pt>
                <c:pt idx="16">
                  <c:v>Sep-22</c:v>
                </c:pt>
                <c:pt idx="17">
                  <c:v>Oct-22</c:v>
                </c:pt>
                <c:pt idx="18">
                  <c:v>Nov-22</c:v>
                </c:pt>
                <c:pt idx="19">
                  <c:v>Dec-22</c:v>
                </c:pt>
                <c:pt idx="20">
                  <c:v>Jan-23</c:v>
                </c:pt>
                <c:pt idx="21">
                  <c:v>Feb-23</c:v>
                </c:pt>
                <c:pt idx="22">
                  <c:v>Mar-23</c:v>
                </c:pt>
                <c:pt idx="23">
                  <c:v>Mar-23</c:v>
                </c:pt>
                <c:pt idx="24">
                  <c:v>Apr-23</c:v>
                </c:pt>
                <c:pt idx="25">
                  <c:v>May-23</c:v>
                </c:pt>
                <c:pt idx="26">
                  <c:v>Jun-23</c:v>
                </c:pt>
                <c:pt idx="27">
                  <c:v>Jul-23</c:v>
                </c:pt>
                <c:pt idx="28">
                  <c:v>Aug-23</c:v>
                </c:pt>
                <c:pt idx="29">
                  <c:v>Sep-23</c:v>
                </c:pt>
                <c:pt idx="30">
                  <c:v>Oct-23</c:v>
                </c:pt>
                <c:pt idx="31">
                  <c:v>Nov-23</c:v>
                </c:pt>
                <c:pt idx="32">
                  <c:v>Dec-23</c:v>
                </c:pt>
                <c:pt idx="33">
                  <c:v>Jan-24</c:v>
                </c:pt>
                <c:pt idx="34">
                  <c:v>Feb-24</c:v>
                </c:pt>
                <c:pt idx="35">
                  <c:v>Mar-24</c:v>
                </c:pt>
                <c:pt idx="36">
                  <c:v>Mar-24</c:v>
                </c:pt>
                <c:pt idx="37">
                  <c:v>Apr-24</c:v>
                </c:pt>
                <c:pt idx="38">
                  <c:v>May-24</c:v>
                </c:pt>
                <c:pt idx="39">
                  <c:v>Jun-24</c:v>
                </c:pt>
                <c:pt idx="40">
                  <c:v>Jul-24</c:v>
                </c:pt>
                <c:pt idx="41">
                  <c:v>Aug-24</c:v>
                </c:pt>
                <c:pt idx="42">
                  <c:v>Sep-24</c:v>
                </c:pt>
                <c:pt idx="43">
                  <c:v>Oct-24</c:v>
                </c:pt>
                <c:pt idx="44">
                  <c:v>Nov-24</c:v>
                </c:pt>
                <c:pt idx="45">
                  <c:v>Dec-24</c:v>
                </c:pt>
                <c:pt idx="46">
                  <c:v>Jan-25</c:v>
                </c:pt>
                <c:pt idx="47">
                  <c:v>Jan-25</c:v>
                </c:pt>
                <c:pt idx="48">
                  <c:v>Feb-25</c:v>
                </c:pt>
                <c:pt idx="49">
                  <c:v>Mar-25</c:v>
                </c:pt>
                <c:pt idx="50">
                  <c:v>Apr-25</c:v>
                </c:pt>
                <c:pt idx="51">
                  <c:v>May-25</c:v>
                </c:pt>
                <c:pt idx="52">
                  <c:v>Jun-25</c:v>
                </c:pt>
                <c:pt idx="53">
                  <c:v>Jul-25</c:v>
                </c:pt>
                <c:pt idx="54">
                  <c:v>Aug-25</c:v>
                </c:pt>
                <c:pt idx="55">
                  <c:v>Sep-25</c:v>
                </c:pt>
                <c:pt idx="56">
                  <c:v>Oct-25</c:v>
                </c:pt>
                <c:pt idx="57">
                  <c:v>Nov-25</c:v>
                </c:pt>
                <c:pt idx="58">
                  <c:v>Dec-25</c:v>
                </c:pt>
                <c:pt idx="59">
                  <c:v>Jan-26</c:v>
                </c:pt>
                <c:pt idx="60">
                  <c:v>Jan-26</c:v>
                </c:pt>
                <c:pt idx="61">
                  <c:v>Feb-26</c:v>
                </c:pt>
                <c:pt idx="62">
                  <c:v>Mar-26</c:v>
                </c:pt>
                <c:pt idx="63">
                  <c:v>Apr-26</c:v>
                </c:pt>
                <c:pt idx="64">
                  <c:v>May-26</c:v>
                </c:pt>
                <c:pt idx="65">
                  <c:v>Jun-26</c:v>
                </c:pt>
                <c:pt idx="66">
                  <c:v>Jun-26</c:v>
                </c:pt>
              </c:strCache>
            </c:strRef>
          </c:cat>
          <c:val>
            <c:numRef>
              <c:f>OTHER!$X$8:$X$74</c:f>
              <c:numCache>
                <c:formatCode>General</c:formatCode>
                <c:ptCount val="67"/>
                <c:pt idx="0">
                  <c:v>100</c:v>
                </c:pt>
                <c:pt idx="1">
                  <c:v>105.1</c:v>
                </c:pt>
                <c:pt idx="2">
                  <c:v>106.5</c:v>
                </c:pt>
                <c:pt idx="3">
                  <c:v>108.2</c:v>
                </c:pt>
                <c:pt idx="4">
                  <c:v>112.7</c:v>
                </c:pt>
                <c:pt idx="5">
                  <c:v>133.8</c:v>
                </c:pt>
                <c:pt idx="6">
                  <c:v>134.5</c:v>
                </c:pt>
                <c:pt idx="7">
                  <c:v>132.1</c:v>
                </c:pt>
                <c:pt idx="8">
                  <c:v>117.3</c:v>
                </c:pt>
                <c:pt idx="9">
                  <c:v>106</c:v>
                </c:pt>
                <c:pt idx="10">
                  <c:v>117.1</c:v>
                </c:pt>
                <c:pt idx="11">
                  <c:v>119.1</c:v>
                </c:pt>
                <c:pt idx="12">
                  <c:v>109.8</c:v>
                </c:pt>
                <c:pt idx="13">
                  <c:v>105.4</c:v>
                </c:pt>
                <c:pt idx="14">
                  <c:v>115.8</c:v>
                </c:pt>
                <c:pt idx="15">
                  <c:v>120.4</c:v>
                </c:pt>
                <c:pt idx="16">
                  <c:v>115.3</c:v>
                </c:pt>
                <c:pt idx="17">
                  <c:v>109.9</c:v>
                </c:pt>
                <c:pt idx="18">
                  <c:v>123.1</c:v>
                </c:pt>
                <c:pt idx="19">
                  <c:v>122.9</c:v>
                </c:pt>
                <c:pt idx="20">
                  <c:v>122.6</c:v>
                </c:pt>
                <c:pt idx="21">
                  <c:v>142</c:v>
                </c:pt>
                <c:pt idx="22">
                  <c:v>150.4</c:v>
                </c:pt>
                <c:pt idx="23">
                  <c:v>146.3</c:v>
                </c:pt>
                <c:pt idx="24">
                  <c:v>148</c:v>
                </c:pt>
                <c:pt idx="25">
                  <c:v>159.4</c:v>
                </c:pt>
                <c:pt idx="26">
                  <c:v>165.8</c:v>
                </c:pt>
                <c:pt idx="27">
                  <c:v>168.2</c:v>
                </c:pt>
                <c:pt idx="28">
                  <c:v>164</c:v>
                </c:pt>
                <c:pt idx="29">
                  <c:v>166.6</c:v>
                </c:pt>
                <c:pt idx="30">
                  <c:v>174.4</c:v>
                </c:pt>
                <c:pt idx="31">
                  <c:v>184.6</c:v>
                </c:pt>
                <c:pt idx="32">
                  <c:v>199.9</c:v>
                </c:pt>
                <c:pt idx="33">
                  <c:v>179.3</c:v>
                </c:pt>
                <c:pt idx="34">
                  <c:v>203.9</c:v>
                </c:pt>
                <c:pt idx="35">
                  <c:v>230.2</c:v>
                </c:pt>
                <c:pt idx="36">
                  <c:v>237</c:v>
                </c:pt>
                <c:pt idx="37">
                  <c:v>231.4</c:v>
                </c:pt>
                <c:pt idx="38">
                  <c:v>225.3</c:v>
                </c:pt>
                <c:pt idx="39">
                  <c:v>226.5</c:v>
                </c:pt>
                <c:pt idx="40">
                  <c:v>225.1</c:v>
                </c:pt>
                <c:pt idx="41">
                  <c:v>245.5</c:v>
                </c:pt>
                <c:pt idx="42">
                  <c:v>249.6</c:v>
                </c:pt>
                <c:pt idx="43">
                  <c:v>250.4</c:v>
                </c:pt>
                <c:pt idx="44">
                  <c:v>247.4</c:v>
                </c:pt>
                <c:pt idx="45">
                  <c:v>253.6</c:v>
                </c:pt>
                <c:pt idx="46">
                  <c:v>237.8</c:v>
                </c:pt>
                <c:pt idx="47">
                  <c:v>244.4</c:v>
                </c:pt>
                <c:pt idx="48">
                  <c:v>264</c:v>
                </c:pt>
                <c:pt idx="49">
                  <c:v>235.6</c:v>
                </c:pt>
                <c:pt idx="50">
                  <c:v>235.7</c:v>
                </c:pt>
                <c:pt idx="51">
                  <c:v>246.8</c:v>
                </c:pt>
                <c:pt idx="52">
                  <c:v>233.9</c:v>
                </c:pt>
                <c:pt idx="53">
                  <c:v>256.1</c:v>
                </c:pt>
                <c:pt idx="54">
                  <c:v>233.2</c:v>
                </c:pt>
                <c:pt idx="55">
                  <c:v>239</c:v>
                </c:pt>
                <c:pt idx="56">
                  <c:v>201.9</c:v>
                </c:pt>
                <c:pt idx="57">
                  <c:v>206.5</c:v>
                </c:pt>
                <c:pt idx="58">
                  <c:v>199.7</c:v>
                </c:pt>
                <c:pt idx="59">
                  <c:v>185.6</c:v>
                </c:pt>
                <c:pt idx="60">
                  <c:v>164.7</c:v>
                </c:pt>
                <c:pt idx="61">
                  <c:v>188.6</c:v>
                </c:pt>
                <c:pt idx="62">
                  <c:v>163.3</c:v>
                </c:pt>
                <c:pt idx="63">
                  <c:v>175.7</c:v>
                </c:pt>
                <c:pt idx="64">
                  <c:v>176.9</c:v>
                </c:pt>
                <c:pt idx="65">
                  <c:v>180.4</c:v>
                </c:pt>
                <c:pt idx="66">
                  <c:v>189</c:v>
                </c:pt>
              </c:numCache>
            </c:numRef>
          </c:val>
          <c:smooth val="0"/>
        </c:ser>
        <c:ser>
          <c:idx val="1"/>
          <c:order val="1"/>
          <c:tx>
            <c:strRef>
              <c:f>OTHER!$Y$7</c:f>
              <c:strCache>
                <c:ptCount val="1"/>
                <c:pt idx="0">
                  <c:v>S&amp;P 500</c:v>
                </c:pt>
              </c:strCache>
            </c:strRef>
          </c:tx>
          <c:spPr>
            <a:ln xmlns:a="http://schemas.openxmlformats.org/drawingml/2006/main" w="28575">
              <a:solidFill>
                <a:srgbClr val="0070C0"/>
              </a:solidFill>
            </a:ln>
          </c:spPr>
          <c:marker>
            <c:symbol val="none"/>
          </c:marker>
          <c:cat>
            <c:strRef>
              <c:f>OTHER!$W$8:$W$74</c:f>
              <c:strCache>
                <c:ptCount val="67"/>
                <c:pt idx="0">
                  <c:v>Jun-21</c:v>
                </c:pt>
                <c:pt idx="1">
                  <c:v>Jul-21</c:v>
                </c:pt>
                <c:pt idx="2">
                  <c:v>Aug-21</c:v>
                </c:pt>
                <c:pt idx="3">
                  <c:v>Sep-21</c:v>
                </c:pt>
                <c:pt idx="4">
                  <c:v>Oct-21</c:v>
                </c:pt>
                <c:pt idx="5">
                  <c:v>Nov-21</c:v>
                </c:pt>
                <c:pt idx="6">
                  <c:v>Dec-21</c:v>
                </c:pt>
                <c:pt idx="7">
                  <c:v>Jan-22</c:v>
                </c:pt>
                <c:pt idx="8">
                  <c:v>Feb-22</c:v>
                </c:pt>
                <c:pt idx="9">
                  <c:v>Mar-22</c:v>
                </c:pt>
                <c:pt idx="10">
                  <c:v>Apr-22</c:v>
                </c:pt>
                <c:pt idx="11">
                  <c:v>Apr-22</c:v>
                </c:pt>
                <c:pt idx="12">
                  <c:v>May-22</c:v>
                </c:pt>
                <c:pt idx="13">
                  <c:v>Jun-22</c:v>
                </c:pt>
                <c:pt idx="14">
                  <c:v>Jul-22</c:v>
                </c:pt>
                <c:pt idx="15">
                  <c:v>Aug-22</c:v>
                </c:pt>
                <c:pt idx="16">
                  <c:v>Sep-22</c:v>
                </c:pt>
                <c:pt idx="17">
                  <c:v>Oct-22</c:v>
                </c:pt>
                <c:pt idx="18">
                  <c:v>Nov-22</c:v>
                </c:pt>
                <c:pt idx="19">
                  <c:v>Dec-22</c:v>
                </c:pt>
                <c:pt idx="20">
                  <c:v>Jan-23</c:v>
                </c:pt>
                <c:pt idx="21">
                  <c:v>Feb-23</c:v>
                </c:pt>
                <c:pt idx="22">
                  <c:v>Mar-23</c:v>
                </c:pt>
                <c:pt idx="23">
                  <c:v>Mar-23</c:v>
                </c:pt>
                <c:pt idx="24">
                  <c:v>Apr-23</c:v>
                </c:pt>
                <c:pt idx="25">
                  <c:v>May-23</c:v>
                </c:pt>
                <c:pt idx="26">
                  <c:v>Jun-23</c:v>
                </c:pt>
                <c:pt idx="27">
                  <c:v>Jul-23</c:v>
                </c:pt>
                <c:pt idx="28">
                  <c:v>Aug-23</c:v>
                </c:pt>
                <c:pt idx="29">
                  <c:v>Sep-23</c:v>
                </c:pt>
                <c:pt idx="30">
                  <c:v>Oct-23</c:v>
                </c:pt>
                <c:pt idx="31">
                  <c:v>Nov-23</c:v>
                </c:pt>
                <c:pt idx="32">
                  <c:v>Dec-23</c:v>
                </c:pt>
                <c:pt idx="33">
                  <c:v>Jan-24</c:v>
                </c:pt>
                <c:pt idx="34">
                  <c:v>Feb-24</c:v>
                </c:pt>
                <c:pt idx="35">
                  <c:v>Mar-24</c:v>
                </c:pt>
                <c:pt idx="36">
                  <c:v>Mar-24</c:v>
                </c:pt>
                <c:pt idx="37">
                  <c:v>Apr-24</c:v>
                </c:pt>
                <c:pt idx="38">
                  <c:v>May-24</c:v>
                </c:pt>
                <c:pt idx="39">
                  <c:v>Jun-24</c:v>
                </c:pt>
                <c:pt idx="40">
                  <c:v>Jul-24</c:v>
                </c:pt>
                <c:pt idx="41">
                  <c:v>Aug-24</c:v>
                </c:pt>
                <c:pt idx="42">
                  <c:v>Sep-24</c:v>
                </c:pt>
                <c:pt idx="43">
                  <c:v>Oct-24</c:v>
                </c:pt>
                <c:pt idx="44">
                  <c:v>Nov-24</c:v>
                </c:pt>
                <c:pt idx="45">
                  <c:v>Dec-24</c:v>
                </c:pt>
                <c:pt idx="46">
                  <c:v>Jan-25</c:v>
                </c:pt>
                <c:pt idx="47">
                  <c:v>Jan-25</c:v>
                </c:pt>
                <c:pt idx="48">
                  <c:v>Feb-25</c:v>
                </c:pt>
                <c:pt idx="49">
                  <c:v>Mar-25</c:v>
                </c:pt>
                <c:pt idx="50">
                  <c:v>Apr-25</c:v>
                </c:pt>
                <c:pt idx="51">
                  <c:v>May-25</c:v>
                </c:pt>
                <c:pt idx="52">
                  <c:v>Jun-25</c:v>
                </c:pt>
                <c:pt idx="53">
                  <c:v>Jul-25</c:v>
                </c:pt>
                <c:pt idx="54">
                  <c:v>Aug-25</c:v>
                </c:pt>
                <c:pt idx="55">
                  <c:v>Sep-25</c:v>
                </c:pt>
                <c:pt idx="56">
                  <c:v>Oct-25</c:v>
                </c:pt>
                <c:pt idx="57">
                  <c:v>Nov-25</c:v>
                </c:pt>
                <c:pt idx="58">
                  <c:v>Dec-25</c:v>
                </c:pt>
                <c:pt idx="59">
                  <c:v>Jan-26</c:v>
                </c:pt>
                <c:pt idx="60">
                  <c:v>Jan-26</c:v>
                </c:pt>
                <c:pt idx="61">
                  <c:v>Feb-26</c:v>
                </c:pt>
                <c:pt idx="62">
                  <c:v>Mar-26</c:v>
                </c:pt>
                <c:pt idx="63">
                  <c:v>Apr-26</c:v>
                </c:pt>
                <c:pt idx="64">
                  <c:v>May-26</c:v>
                </c:pt>
                <c:pt idx="65">
                  <c:v>Jun-26</c:v>
                </c:pt>
                <c:pt idx="66">
                  <c:v>Jun-26</c:v>
                </c:pt>
              </c:strCache>
            </c:strRef>
          </c:cat>
          <c:val>
            <c:numRef>
              <c:f>OTHER!$Y$8:$Y$74</c:f>
              <c:numCache>
                <c:formatCode>General</c:formatCode>
                <c:ptCount val="67"/>
                <c:pt idx="0">
                  <c:v>100</c:v>
                </c:pt>
                <c:pt idx="1">
                  <c:v>104.5</c:v>
                </c:pt>
                <c:pt idx="2">
                  <c:v>105.8</c:v>
                </c:pt>
                <c:pt idx="3">
                  <c:v>105.4</c:v>
                </c:pt>
                <c:pt idx="4">
                  <c:v>107.5</c:v>
                </c:pt>
                <c:pt idx="5">
                  <c:v>114.1</c:v>
                </c:pt>
                <c:pt idx="6">
                  <c:v>116.1</c:v>
                </c:pt>
                <c:pt idx="7">
                  <c:v>114.8</c:v>
                </c:pt>
                <c:pt idx="8">
                  <c:v>109.6</c:v>
                </c:pt>
                <c:pt idx="9">
                  <c:v>110.5</c:v>
                </c:pt>
                <c:pt idx="10">
                  <c:v>114.8</c:v>
                </c:pt>
                <c:pt idx="11">
                  <c:v>109.2</c:v>
                </c:pt>
                <c:pt idx="12">
                  <c:v>108.3</c:v>
                </c:pt>
                <c:pt idx="13">
                  <c:v>103.4</c:v>
                </c:pt>
                <c:pt idx="14">
                  <c:v>108</c:v>
                </c:pt>
                <c:pt idx="15">
                  <c:v>117.5</c:v>
                </c:pt>
                <c:pt idx="16">
                  <c:v>107.9</c:v>
                </c:pt>
                <c:pt idx="17">
                  <c:v>102.8</c:v>
                </c:pt>
                <c:pt idx="18">
                  <c:v>107.7</c:v>
                </c:pt>
                <c:pt idx="19">
                  <c:v>104</c:v>
                </c:pt>
                <c:pt idx="20">
                  <c:v>102.1</c:v>
                </c:pt>
                <c:pt idx="21">
                  <c:v>106.6</c:v>
                </c:pt>
                <c:pt idx="22">
                  <c:v>106.2</c:v>
                </c:pt>
                <c:pt idx="23">
                  <c:v>105.4</c:v>
                </c:pt>
                <c:pt idx="24">
                  <c:v>105.4</c:v>
                </c:pt>
                <c:pt idx="25">
                  <c:v>109.4</c:v>
                </c:pt>
                <c:pt idx="26">
                  <c:v>111.4</c:v>
                </c:pt>
                <c:pt idx="27">
                  <c:v>113.7</c:v>
                </c:pt>
                <c:pt idx="28">
                  <c:v>112.1</c:v>
                </c:pt>
                <c:pt idx="29">
                  <c:v>116.3</c:v>
                </c:pt>
                <c:pt idx="30">
                  <c:v>114.8</c:v>
                </c:pt>
                <c:pt idx="31">
                  <c:v>115.3</c:v>
                </c:pt>
                <c:pt idx="32">
                  <c:v>119.4</c:v>
                </c:pt>
                <c:pt idx="33">
                  <c:v>119.7</c:v>
                </c:pt>
                <c:pt idx="34">
                  <c:v>128.2</c:v>
                </c:pt>
                <c:pt idx="35">
                  <c:v>132.2</c:v>
                </c:pt>
                <c:pt idx="36">
                  <c:v>135.7</c:v>
                </c:pt>
                <c:pt idx="37">
                  <c:v>133</c:v>
                </c:pt>
                <c:pt idx="38">
                  <c:v>136.4</c:v>
                </c:pt>
                <c:pt idx="39">
                  <c:v>142.5</c:v>
                </c:pt>
                <c:pt idx="40">
                  <c:v>141</c:v>
                </c:pt>
                <c:pt idx="41">
                  <c:v>140.8</c:v>
                </c:pt>
                <c:pt idx="42">
                  <c:v>141.5</c:v>
                </c:pt>
                <c:pt idx="43">
                  <c:v>148.2</c:v>
                </c:pt>
                <c:pt idx="44">
                  <c:v>156.1</c:v>
                </c:pt>
                <c:pt idx="45">
                  <c:v>161</c:v>
                </c:pt>
                <c:pt idx="46">
                  <c:v>160.9</c:v>
                </c:pt>
                <c:pt idx="47">
                  <c:v>161.7</c:v>
                </c:pt>
                <c:pt idx="48">
                  <c:v>159.7</c:v>
                </c:pt>
                <c:pt idx="49">
                  <c:v>143.8</c:v>
                </c:pt>
                <c:pt idx="50">
                  <c:v>135.5</c:v>
                </c:pt>
                <c:pt idx="51">
                  <c:v>142.5</c:v>
                </c:pt>
                <c:pt idx="52">
                  <c:v>144.3</c:v>
                </c:pt>
                <c:pt idx="53">
                  <c:v>151</c:v>
                </c:pt>
                <c:pt idx="54">
                  <c:v>153.7</c:v>
                </c:pt>
                <c:pt idx="55">
                  <c:v>156.6</c:v>
                </c:pt>
                <c:pt idx="56">
                  <c:v>157.4</c:v>
                </c:pt>
                <c:pt idx="57">
                  <c:v>162</c:v>
                </c:pt>
                <c:pt idx="58">
                  <c:v>164.5</c:v>
                </c:pt>
                <c:pt idx="59">
                  <c:v>163</c:v>
                </c:pt>
                <c:pt idx="60">
                  <c:v>163</c:v>
                </c:pt>
                <c:pt idx="61">
                  <c:v>162.3</c:v>
                </c:pt>
                <c:pt idx="62">
                  <c:v>154.3</c:v>
                </c:pt>
                <c:pt idx="63">
                  <c:v>170.5</c:v>
                </c:pt>
                <c:pt idx="64">
                  <c:v>179.5</c:v>
                </c:pt>
                <c:pt idx="65">
                  <c:v>182.4</c:v>
                </c:pt>
                <c:pt idx="66">
                  <c:v>180</c:v>
                </c:pt>
              </c:numCache>
            </c:numRef>
          </c:val>
          <c:smooth val="0"/>
        </c:ser>
        <c:ser>
          <c:idx val="2"/>
          <c:order val="2"/>
          <c:tx>
            <c:strRef>
              <c:f>OTHER!$Z$7</c:f>
              <c:strCache>
                <c:ptCount val="1"/>
                <c:pt idx="0">
                  <c:v>Stoxx Europe 600</c:v>
                </c:pt>
              </c:strCache>
            </c:strRef>
          </c:tx>
          <c:spPr>
            <a:ln xmlns:a="http://schemas.openxmlformats.org/drawingml/2006/main" w="28575">
              <a:solidFill>
                <a:schemeClr val="accent3"/>
              </a:solidFill>
            </a:ln>
          </c:spPr>
          <c:marker>
            <c:symbol val="none"/>
          </c:marker>
          <c:cat>
            <c:strRef>
              <c:f>OTHER!$W$8:$W$74</c:f>
              <c:strCache>
                <c:ptCount val="67"/>
                <c:pt idx="0">
                  <c:v>Jun-21</c:v>
                </c:pt>
                <c:pt idx="1">
                  <c:v>Jul-21</c:v>
                </c:pt>
                <c:pt idx="2">
                  <c:v>Aug-21</c:v>
                </c:pt>
                <c:pt idx="3">
                  <c:v>Sep-21</c:v>
                </c:pt>
                <c:pt idx="4">
                  <c:v>Oct-21</c:v>
                </c:pt>
                <c:pt idx="5">
                  <c:v>Nov-21</c:v>
                </c:pt>
                <c:pt idx="6">
                  <c:v>Dec-21</c:v>
                </c:pt>
                <c:pt idx="7">
                  <c:v>Jan-22</c:v>
                </c:pt>
                <c:pt idx="8">
                  <c:v>Feb-22</c:v>
                </c:pt>
                <c:pt idx="9">
                  <c:v>Mar-22</c:v>
                </c:pt>
                <c:pt idx="10">
                  <c:v>Apr-22</c:v>
                </c:pt>
                <c:pt idx="11">
                  <c:v>Apr-22</c:v>
                </c:pt>
                <c:pt idx="12">
                  <c:v>May-22</c:v>
                </c:pt>
                <c:pt idx="13">
                  <c:v>Jun-22</c:v>
                </c:pt>
                <c:pt idx="14">
                  <c:v>Jul-22</c:v>
                </c:pt>
                <c:pt idx="15">
                  <c:v>Aug-22</c:v>
                </c:pt>
                <c:pt idx="16">
                  <c:v>Sep-22</c:v>
                </c:pt>
                <c:pt idx="17">
                  <c:v>Oct-22</c:v>
                </c:pt>
                <c:pt idx="18">
                  <c:v>Nov-22</c:v>
                </c:pt>
                <c:pt idx="19">
                  <c:v>Dec-22</c:v>
                </c:pt>
                <c:pt idx="20">
                  <c:v>Jan-23</c:v>
                </c:pt>
                <c:pt idx="21">
                  <c:v>Feb-23</c:v>
                </c:pt>
                <c:pt idx="22">
                  <c:v>Mar-23</c:v>
                </c:pt>
                <c:pt idx="23">
                  <c:v>Mar-23</c:v>
                </c:pt>
                <c:pt idx="24">
                  <c:v>Apr-23</c:v>
                </c:pt>
                <c:pt idx="25">
                  <c:v>May-23</c:v>
                </c:pt>
                <c:pt idx="26">
                  <c:v>Jun-23</c:v>
                </c:pt>
                <c:pt idx="27">
                  <c:v>Jul-23</c:v>
                </c:pt>
                <c:pt idx="28">
                  <c:v>Aug-23</c:v>
                </c:pt>
                <c:pt idx="29">
                  <c:v>Sep-23</c:v>
                </c:pt>
                <c:pt idx="30">
                  <c:v>Oct-23</c:v>
                </c:pt>
                <c:pt idx="31">
                  <c:v>Nov-23</c:v>
                </c:pt>
                <c:pt idx="32">
                  <c:v>Dec-23</c:v>
                </c:pt>
                <c:pt idx="33">
                  <c:v>Jan-24</c:v>
                </c:pt>
                <c:pt idx="34">
                  <c:v>Feb-24</c:v>
                </c:pt>
                <c:pt idx="35">
                  <c:v>Mar-24</c:v>
                </c:pt>
                <c:pt idx="36">
                  <c:v>Mar-24</c:v>
                </c:pt>
                <c:pt idx="37">
                  <c:v>Apr-24</c:v>
                </c:pt>
                <c:pt idx="38">
                  <c:v>May-24</c:v>
                </c:pt>
                <c:pt idx="39">
                  <c:v>Jun-24</c:v>
                </c:pt>
                <c:pt idx="40">
                  <c:v>Jul-24</c:v>
                </c:pt>
                <c:pt idx="41">
                  <c:v>Aug-24</c:v>
                </c:pt>
                <c:pt idx="42">
                  <c:v>Sep-24</c:v>
                </c:pt>
                <c:pt idx="43">
                  <c:v>Oct-24</c:v>
                </c:pt>
                <c:pt idx="44">
                  <c:v>Nov-24</c:v>
                </c:pt>
                <c:pt idx="45">
                  <c:v>Dec-24</c:v>
                </c:pt>
                <c:pt idx="46">
                  <c:v>Jan-25</c:v>
                </c:pt>
                <c:pt idx="47">
                  <c:v>Jan-25</c:v>
                </c:pt>
                <c:pt idx="48">
                  <c:v>Feb-25</c:v>
                </c:pt>
                <c:pt idx="49">
                  <c:v>Mar-25</c:v>
                </c:pt>
                <c:pt idx="50">
                  <c:v>Apr-25</c:v>
                </c:pt>
                <c:pt idx="51">
                  <c:v>May-25</c:v>
                </c:pt>
                <c:pt idx="52">
                  <c:v>Jun-25</c:v>
                </c:pt>
                <c:pt idx="53">
                  <c:v>Jul-25</c:v>
                </c:pt>
                <c:pt idx="54">
                  <c:v>Aug-25</c:v>
                </c:pt>
                <c:pt idx="55">
                  <c:v>Sep-25</c:v>
                </c:pt>
                <c:pt idx="56">
                  <c:v>Oct-25</c:v>
                </c:pt>
                <c:pt idx="57">
                  <c:v>Nov-25</c:v>
                </c:pt>
                <c:pt idx="58">
                  <c:v>Dec-25</c:v>
                </c:pt>
                <c:pt idx="59">
                  <c:v>Jan-26</c:v>
                </c:pt>
                <c:pt idx="60">
                  <c:v>Jan-26</c:v>
                </c:pt>
                <c:pt idx="61">
                  <c:v>Feb-26</c:v>
                </c:pt>
                <c:pt idx="62">
                  <c:v>Mar-26</c:v>
                </c:pt>
                <c:pt idx="63">
                  <c:v>Apr-26</c:v>
                </c:pt>
                <c:pt idx="64">
                  <c:v>May-26</c:v>
                </c:pt>
                <c:pt idx="65">
                  <c:v>Jun-26</c:v>
                </c:pt>
                <c:pt idx="66">
                  <c:v>Jun-26</c:v>
                </c:pt>
              </c:strCache>
            </c:strRef>
          </c:cat>
          <c:val>
            <c:numRef>
              <c:f>OTHER!$Z$8:$Z$74</c:f>
              <c:numCache>
                <c:formatCode>General</c:formatCode>
                <c:ptCount val="67"/>
                <c:pt idx="0">
                  <c:v>100</c:v>
                </c:pt>
                <c:pt idx="1">
                  <c:v>100.8</c:v>
                </c:pt>
                <c:pt idx="2">
                  <c:v>102.4</c:v>
                </c:pt>
                <c:pt idx="3">
                  <c:v>100.9</c:v>
                </c:pt>
                <c:pt idx="4">
                  <c:v>102.6</c:v>
                </c:pt>
                <c:pt idx="5">
                  <c:v>106.4</c:v>
                </c:pt>
                <c:pt idx="6">
                  <c:v>103.9</c:v>
                </c:pt>
                <c:pt idx="7">
                  <c:v>106.3</c:v>
                </c:pt>
                <c:pt idx="8">
                  <c:v>101</c:v>
                </c:pt>
                <c:pt idx="9">
                  <c:v>92.2</c:v>
                </c:pt>
                <c:pt idx="10">
                  <c:v>100.2</c:v>
                </c:pt>
                <c:pt idx="11">
                  <c:v>98.4</c:v>
                </c:pt>
                <c:pt idx="12">
                  <c:v>97</c:v>
                </c:pt>
                <c:pt idx="13">
                  <c:v>90.2</c:v>
                </c:pt>
                <c:pt idx="14">
                  <c:v>93</c:v>
                </c:pt>
                <c:pt idx="15">
                  <c:v>95.6</c:v>
                </c:pt>
                <c:pt idx="16">
                  <c:v>89.2</c:v>
                </c:pt>
                <c:pt idx="17">
                  <c:v>85.5</c:v>
                </c:pt>
                <c:pt idx="18">
                  <c:v>94.5</c:v>
                </c:pt>
                <c:pt idx="19">
                  <c:v>96</c:v>
                </c:pt>
                <c:pt idx="20">
                  <c:v>97.1</c:v>
                </c:pt>
                <c:pt idx="21">
                  <c:v>100.7</c:v>
                </c:pt>
                <c:pt idx="22">
                  <c:v>101.4</c:v>
                </c:pt>
                <c:pt idx="23">
                  <c:v>100</c:v>
                </c:pt>
                <c:pt idx="24">
                  <c:v>102</c:v>
                </c:pt>
                <c:pt idx="25">
                  <c:v>100.8</c:v>
                </c:pt>
                <c:pt idx="26">
                  <c:v>99</c:v>
                </c:pt>
                <c:pt idx="27">
                  <c:v>101.7</c:v>
                </c:pt>
                <c:pt idx="28">
                  <c:v>98</c:v>
                </c:pt>
                <c:pt idx="29">
                  <c:v>100.9</c:v>
                </c:pt>
                <c:pt idx="30">
                  <c:v>98.2</c:v>
                </c:pt>
                <c:pt idx="31">
                  <c:v>96.9</c:v>
                </c:pt>
                <c:pt idx="32">
                  <c:v>103.2</c:v>
                </c:pt>
                <c:pt idx="33">
                  <c:v>104.1</c:v>
                </c:pt>
                <c:pt idx="34">
                  <c:v>105.7</c:v>
                </c:pt>
                <c:pt idx="35">
                  <c:v>108.7</c:v>
                </c:pt>
                <c:pt idx="36">
                  <c:v>112</c:v>
                </c:pt>
                <c:pt idx="37">
                  <c:v>111</c:v>
                </c:pt>
                <c:pt idx="38">
                  <c:v>113.8</c:v>
                </c:pt>
                <c:pt idx="39">
                  <c:v>112.6</c:v>
                </c:pt>
                <c:pt idx="40">
                  <c:v>111.5</c:v>
                </c:pt>
                <c:pt idx="41">
                  <c:v>111.8</c:v>
                </c:pt>
                <c:pt idx="42">
                  <c:v>112.7</c:v>
                </c:pt>
                <c:pt idx="43">
                  <c:v>114.1</c:v>
                </c:pt>
                <c:pt idx="44">
                  <c:v>110.7</c:v>
                </c:pt>
                <c:pt idx="45">
                  <c:v>113.7</c:v>
                </c:pt>
                <c:pt idx="46">
                  <c:v>111</c:v>
                </c:pt>
                <c:pt idx="47">
                  <c:v>117.9</c:v>
                </c:pt>
                <c:pt idx="48">
                  <c:v>121.8</c:v>
                </c:pt>
                <c:pt idx="49">
                  <c:v>118.5</c:v>
                </c:pt>
                <c:pt idx="50">
                  <c:v>113.7</c:v>
                </c:pt>
                <c:pt idx="51">
                  <c:v>119.1</c:v>
                </c:pt>
                <c:pt idx="52">
                  <c:v>117.2</c:v>
                </c:pt>
                <c:pt idx="53">
                  <c:v>119.5</c:v>
                </c:pt>
                <c:pt idx="54">
                  <c:v>121</c:v>
                </c:pt>
                <c:pt idx="55">
                  <c:v>121.2</c:v>
                </c:pt>
                <c:pt idx="56">
                  <c:v>123.3</c:v>
                </c:pt>
                <c:pt idx="57">
                  <c:v>123.4</c:v>
                </c:pt>
                <c:pt idx="58">
                  <c:v>126.5</c:v>
                </c:pt>
                <c:pt idx="59">
                  <c:v>130.3</c:v>
                </c:pt>
                <c:pt idx="60">
                  <c:v>133.5</c:v>
                </c:pt>
                <c:pt idx="61">
                  <c:v>138.5</c:v>
                </c:pt>
                <c:pt idx="62">
                  <c:v>125.7</c:v>
                </c:pt>
                <c:pt idx="63">
                  <c:v>133.4</c:v>
                </c:pt>
                <c:pt idx="64">
                  <c:v>136.6</c:v>
                </c:pt>
                <c:pt idx="65">
                  <c:v>138.9</c:v>
                </c:pt>
                <c:pt idx="66">
                  <c:v>139</c:v>
                </c:pt>
              </c:numCache>
            </c:numRef>
          </c:val>
          <c:smooth val="0"/>
        </c:ser>
        <c:dLbls>
          <c:showLegendKey val="0"/>
          <c:showVal val="0"/>
          <c:showCatName val="0"/>
          <c:showSerName val="0"/>
          <c:showPercent val="0"/>
          <c:showBubbleSize val="0"/>
        </c:dLbls>
        <c:smooth val="0"/>
        <c:axId val="1295125567"/>
        <c:axId val="1295125119"/>
      </c:lineChart>
      <c:catAx>
        <c:axId val="1295125567"/>
        <c:scaling>
          <c:orientation val="minMax"/>
        </c:scaling>
        <c:delete val="0"/>
        <c:axPos val="b"/>
        <c:numFmt formatCode="General" sourceLinked="1"/>
        <c:majorTickMark val="none"/>
        <c:minorTickMark val="none"/>
        <c:tickLblPos val="nextTo"/>
        <c:tickLblSkip val="9"/>
        <c:spPr>
          <a:ln xmlns:a="http://schemas.openxmlformats.org/drawingml/2006/main" w="9525" cmpd="sng">
            <a:solidFill>
              <a:schemeClr val="tx1">
                <a:lumMod val="15000"/>
                <a:lumOff val="85000"/>
              </a:schemeClr>
            </a:solidFill>
          </a:ln>
        </c:spPr>
        <c:txPr>
          <a:bodyPr xmlns:a="http://schemas.openxmlformats.org/drawingml/2006/main" rot="-60000000" spcFirstLastPara="1" vert="horz" wrap="square"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295125119"/>
        <c:crossesAt val="0"/>
        <c:lblOffset val="100"/>
      </c:catAx>
      <c:valAx>
        <c:axId val="1295125119"/>
        <c:scaling>
          <c:orientation val="minMax"/>
          <c:max val="270"/>
          <c:min val="50"/>
        </c:scaling>
        <c:delete val="0"/>
        <c:axPos val="l"/>
        <c:majorGridlines>
          <c:spPr>
            <a:ln xmlns:a="http://schemas.openxmlformats.org/drawingml/2006/main" w="9525" cmpd="sng">
              <a:solidFill>
                <a:schemeClr val="tx1">
                  <a:lumMod val="15000"/>
                  <a:lumOff val="85000"/>
                </a:schemeClr>
              </a:solidFill>
            </a:ln>
          </c:spPr>
        </c:majorGridlines>
        <c:numFmt formatCode="General" sourceLinked="1"/>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295125567"/>
        <c:crosses val="autoZero"/>
        <c:crossBetween val="between"/>
        <c:majorUnit val="50"/>
        <c:minorUnit val="20"/>
      </c:valAx>
      <c:spPr>
        <a:noFill xmlns:a="http://schemas.openxmlformats.org/drawingml/2006/main"/>
        <a:ln xmlns:a="http://schemas.openxmlformats.org/drawingml/2006/main">
          <a:noFill/>
        </a:ln>
      </c:spPr>
    </c:plotArea>
    <c:legend>
      <c:legendPos val="b"/>
      <c:overlay val="0"/>
      <c:spPr>
        <a:noFill xmlns:a="http://schemas.openxmlformats.org/drawingml/2006/main"/>
      </c:spPr>
      <c:txPr>
        <a:bodyPr xmlns:a="http://schemas.openxmlformats.org/drawingml/2006/main" rot="0" vert="horz"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legend>
    <c:plotVisOnly val="1"/>
  </c:chart>
  <c:spPr>
    <a:solidFill xmlns:a="http://schemas.openxmlformats.org/drawingml/2006/main">
      <a:schemeClr val="bg1"/>
    </a:solidFill>
    <a:ln xmlns:a="http://schemas.openxmlformats.org/drawingml/2006/main" w="9525" cmpd="sng">
      <a:solidFill>
        <a:schemeClr val="tx1">
          <a:lumMod val="15000"/>
          <a:lumOff val="85000"/>
        </a:schemeClr>
      </a:solidFill>
    </a:ln>
  </c:spPr>
</c:chartSpace>
</file>

<file path=xl/drawings/charts/chart7.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autoTitleDeleted val="1"/>
    <c:plotArea>
      <c:lineChart>
        <c:grouping val="standard"/>
        <c:varyColors val="0"/>
        <c:ser>
          <c:idx val="0"/>
          <c:order val="0"/>
          <c:tx>
            <c:strRef>
              <c:f>OTHER!$AC$7</c:f>
              <c:strCache>
                <c:ptCount val="1"/>
                <c:pt idx="0">
                  <c:v>EBITDA margin (%)</c:v>
                </c:pt>
              </c:strCache>
            </c:strRef>
          </c:tx>
          <c:spPr>
            <a:ln xmlns:a="http://schemas.openxmlformats.org/drawingml/2006/main" w="28575">
              <a:solidFill>
                <a:schemeClr val="accent1"/>
              </a:solidFill>
            </a:ln>
          </c:spPr>
          <c:marker>
            <c:symbol val="none"/>
          </c:marker>
          <c:cat>
            <c:strRef>
              <c:f>OTHER!$AB$8:$AB$22</c:f>
              <c:strCache>
                <c:ptCount val="15"/>
                <c:pt idx="0">
                  <c:v>FY21</c:v>
                </c:pt>
                <c:pt idx="1">
                  <c:v>FY22</c:v>
                </c:pt>
                <c:pt idx="2">
                  <c:v>FY23</c:v>
                </c:pt>
                <c:pt idx="3">
                  <c:v>FY24</c:v>
                </c:pt>
                <c:pt idx="4">
                  <c:v>FY25</c:v>
                </c:pt>
                <c:pt idx="5">
                  <c:v>FY26F</c:v>
                </c:pt>
                <c:pt idx="6">
                  <c:v>FY27F</c:v>
                </c:pt>
                <c:pt idx="7">
                  <c:v>FY28F</c:v>
                </c:pt>
                <c:pt idx="8">
                  <c:v>FY29F</c:v>
                </c:pt>
                <c:pt idx="9">
                  <c:v>FY30F</c:v>
                </c:pt>
                <c:pt idx="10">
                  <c:v>FY31F</c:v>
                </c:pt>
                <c:pt idx="11">
                  <c:v>FY32F</c:v>
                </c:pt>
                <c:pt idx="12">
                  <c:v>FY33F</c:v>
                </c:pt>
                <c:pt idx="13">
                  <c:v>FY34F</c:v>
                </c:pt>
                <c:pt idx="14">
                  <c:v>FY35F</c:v>
                </c:pt>
              </c:strCache>
            </c:strRef>
          </c:cat>
          <c:val>
            <c:numRef>
              <c:f>OTHER!$AC$8:$AC$22</c:f>
              <c:numCache>
                <c:formatCode>0.00%</c:formatCode>
                <c:ptCount val="15"/>
                <c:pt idx="0">
                  <c:v>0.3585846429342428</c:v>
                </c:pt>
                <c:pt idx="1">
                  <c:v>0.348090006896614</c:v>
                </c:pt>
                <c:pt idx="2">
                  <c:v>0.3818456031058537</c:v>
                </c:pt>
                <c:pt idx="3">
                  <c:v>0.3826052156554737</c:v>
                </c:pt>
                <c:pt idx="4">
                  <c:v>0.3878733538508387</c:v>
                </c:pt>
                <c:pt idx="5">
                  <c:v>0.39090024197089324</c:v>
                </c:pt>
                <c:pt idx="6">
                  <c:v>0.3935996829292609</c:v>
                </c:pt>
                <c:pt idx="7">
                  <c:v>0.39625952520037</c:v>
                </c:pt>
                <c:pt idx="8">
                  <c:v>0.3995653848916767</c:v>
                </c:pt>
                <c:pt idx="9">
                  <c:v>0.40151932586924505</c:v>
                </c:pt>
                <c:pt idx="10">
                  <c:v>0.4021546557160934</c:v>
                </c:pt>
                <c:pt idx="11">
                  <c:v>0.4024329496834882</c:v>
                </c:pt>
                <c:pt idx="12">
                  <c:v>0.40326979959432546</c:v>
                </c:pt>
                <c:pt idx="13">
                  <c:v>0.40304200737596463</c:v>
                </c:pt>
                <c:pt idx="14">
                  <c:v>0.40235004244995093</c:v>
                </c:pt>
              </c:numCache>
            </c:numRef>
          </c:val>
          <c:smooth val="0"/>
        </c:ser>
        <c:ser>
          <c:idx val="1"/>
          <c:order val="1"/>
          <c:tx>
            <c:strRef>
              <c:f>OTHER!$AD$7</c:f>
              <c:strCache>
                <c:ptCount val="1"/>
                <c:pt idx="0">
                  <c:v>EBIT margin (%)</c:v>
                </c:pt>
              </c:strCache>
            </c:strRef>
          </c:tx>
          <c:spPr>
            <a:ln xmlns:a="http://schemas.openxmlformats.org/drawingml/2006/main" w="28575">
              <a:solidFill>
                <a:srgbClr val="C00000"/>
              </a:solidFill>
            </a:ln>
          </c:spPr>
          <c:marker>
            <c:symbol val="none"/>
          </c:marker>
          <c:cat>
            <c:strRef>
              <c:f>OTHER!$AB$8:$AB$22</c:f>
              <c:strCache>
                <c:ptCount val="15"/>
                <c:pt idx="0">
                  <c:v>FY21</c:v>
                </c:pt>
                <c:pt idx="1">
                  <c:v>FY22</c:v>
                </c:pt>
                <c:pt idx="2">
                  <c:v>FY23</c:v>
                </c:pt>
                <c:pt idx="3">
                  <c:v>FY24</c:v>
                </c:pt>
                <c:pt idx="4">
                  <c:v>FY25</c:v>
                </c:pt>
                <c:pt idx="5">
                  <c:v>FY26F</c:v>
                </c:pt>
                <c:pt idx="6">
                  <c:v>FY27F</c:v>
                </c:pt>
                <c:pt idx="7">
                  <c:v>FY28F</c:v>
                </c:pt>
                <c:pt idx="8">
                  <c:v>FY29F</c:v>
                </c:pt>
                <c:pt idx="9">
                  <c:v>FY30F</c:v>
                </c:pt>
                <c:pt idx="10">
                  <c:v>FY31F</c:v>
                </c:pt>
                <c:pt idx="11">
                  <c:v>FY32F</c:v>
                </c:pt>
                <c:pt idx="12">
                  <c:v>FY33F</c:v>
                </c:pt>
                <c:pt idx="13">
                  <c:v>FY34F</c:v>
                </c:pt>
                <c:pt idx="14">
                  <c:v>FY35F</c:v>
                </c:pt>
              </c:strCache>
            </c:strRef>
          </c:cat>
          <c:val>
            <c:numRef>
              <c:f>OTHER!$AD$8:$AD$22</c:f>
              <c:numCache>
                <c:formatCode>0.00%</c:formatCode>
                <c:ptCount val="15"/>
                <c:pt idx="0">
                  <c:v>0.2518180034437755</c:v>
                </c:pt>
                <c:pt idx="1">
                  <c:v>0.2408873041461721</c:v>
                </c:pt>
                <c:pt idx="2">
                  <c:v>0.27090945514565307</c:v>
                </c:pt>
                <c:pt idx="3">
                  <c:v>0.2827384857237173</c:v>
                </c:pt>
                <c:pt idx="4">
                  <c:v>0.2952399238262423</c:v>
                </c:pt>
                <c:pt idx="5">
                  <c:v>0.29790024197089326</c:v>
                </c:pt>
                <c:pt idx="6">
                  <c:v>0.29959968292926087</c:v>
                </c:pt>
                <c:pt idx="7">
                  <c:v>0.30125952520037</c:v>
                </c:pt>
                <c:pt idx="8">
                  <c:v>0.3025653848916767</c:v>
                </c:pt>
                <c:pt idx="9">
                  <c:v>0.3035193258692451</c:v>
                </c:pt>
                <c:pt idx="10">
                  <c:v>0.3031546557160934</c:v>
                </c:pt>
                <c:pt idx="11">
                  <c:v>0.3024329496834882</c:v>
                </c:pt>
                <c:pt idx="12">
                  <c:v>0.3012697995943255</c:v>
                </c:pt>
                <c:pt idx="13">
                  <c:v>0.3000420073759646</c:v>
                </c:pt>
                <c:pt idx="14">
                  <c:v>0.29835004244995095</c:v>
                </c:pt>
              </c:numCache>
            </c:numRef>
          </c:val>
          <c:smooth val="0"/>
        </c:ser>
        <c:dLbls>
          <c:showLegendKey val="0"/>
          <c:showVal val="0"/>
          <c:showCatName val="0"/>
          <c:showSerName val="0"/>
          <c:showPercent val="0"/>
          <c:showBubbleSize val="0"/>
        </c:dLbls>
        <c:smooth val="0"/>
        <c:axId val="1294998527"/>
        <c:axId val="1295003455"/>
      </c:lineChart>
      <c:catAx>
        <c:axId val="1294998527"/>
        <c:scaling>
          <c:orientation val="minMax"/>
        </c:scaling>
        <c:delete val="0"/>
        <c:axPos val="b"/>
        <c:numFmt formatCode="General" sourceLinked="1"/>
        <c:majorTickMark val="none"/>
        <c:minorTickMark val="none"/>
        <c:tickLblPos val="nextTo"/>
        <c:spPr>
          <a:ln xmlns:a="http://schemas.openxmlformats.org/drawingml/2006/main" w="9525" cmpd="sng">
            <a:solidFill>
              <a:schemeClr val="tx1">
                <a:lumMod val="15000"/>
                <a:lumOff val="85000"/>
              </a:schemeClr>
            </a:solidFill>
          </a:ln>
        </c:spPr>
        <c:txPr>
          <a:bodyPr xmlns:a="http://schemas.openxmlformats.org/drawingml/2006/main" rot="-60000000" spcFirstLastPara="1" vert="horz" wrap="square"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295003455"/>
        <c:crosses val="autoZero"/>
        <c:lblOffset val="100"/>
      </c:catAx>
      <c:valAx>
        <c:axId val="1295003455"/>
        <c:scaling>
          <c:orientation val="minMax"/>
          <c:max val="0.5"/>
          <c:min val="0.15000000000000002"/>
        </c:scaling>
        <c:delete val="0"/>
        <c:axPos val="l"/>
        <c:majorGridlines>
          <c:spPr>
            <a:ln xmlns:a="http://schemas.openxmlformats.org/drawingml/2006/main" w="9525" cmpd="sng">
              <a:solidFill>
                <a:schemeClr val="tx1">
                  <a:lumMod val="15000"/>
                  <a:lumOff val="85000"/>
                </a:schemeClr>
              </a:solidFill>
            </a:ln>
          </c:spPr>
        </c:majorGridlines>
        <c:numFmt formatCode="0.00%" sourceLinked="1"/>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crossAx val="1294998527"/>
        <c:crosses val="autoZero"/>
        <c:crossBetween val="between"/>
      </c:valAx>
      <c:spPr>
        <a:noFill xmlns:a="http://schemas.openxmlformats.org/drawingml/2006/main"/>
        <a:ln xmlns:a="http://schemas.openxmlformats.org/drawingml/2006/main">
          <a:noFill/>
        </a:ln>
      </c:spPr>
    </c:plotArea>
    <c:legend>
      <c:legendPos val="b"/>
      <c:overlay val="0"/>
      <c:spPr>
        <a:noFill xmlns:a="http://schemas.openxmlformats.org/drawingml/2006/main"/>
      </c:spPr>
      <c:txPr>
        <a:bodyPr xmlns:a="http://schemas.openxmlformats.org/drawingml/2006/main" rot="0" vert="horz" anchor="ctr" anchorCtr="1"/>
        <a:lstStyle xmlns:a="http://schemas.openxmlformats.org/drawingml/2006/main"/>
        <a:p xmlns:a="http://schemas.openxmlformats.org/drawingml/2006/main">
          <a:pPr>
            <a:defRPr sz="900" b="0" i="0" u="none">
              <a:solidFill>
                <a:schemeClr val="tx1">
                  <a:lumMod val="65000"/>
                  <a:lumOff val="35000"/>
                </a:schemeClr>
              </a:solidFill>
              <a:latin typeface="+mn-lt"/>
              <a:ea typeface="+mn-lt"/>
              <a:cs typeface="+mn-lt"/>
            </a:defRPr>
          </a:pPr>
        </a:p>
      </c:txPr>
    </c:legend>
    <c:plotVisOnly val="1"/>
  </c:chart>
  <c:spPr>
    <a:solidFill xmlns:a="http://schemas.openxmlformats.org/drawingml/2006/main">
      <a:schemeClr val="bg1"/>
    </a:solidFill>
    <a:ln xmlns:a="http://schemas.openxmlformats.org/drawingml/2006/main" w="9525" cmpd="sng">
      <a:solidFill>
        <a:schemeClr val="tx1">
          <a:lumMod val="15000"/>
          <a:lumOff val="85000"/>
        </a:schemeClr>
      </a:solidFill>
    </a:ln>
  </c:spPr>
</c:chartSpace>
</file>

<file path=xl/drawings/charts/chart8.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autoTitleDeleted val="1"/>
    <c:plotArea>
      <c:lineChart>
        <c:grouping val="stacked"/>
        <c:varyColors val="0"/>
        <c:ser>
          <c:idx val="0"/>
          <c:order val="0"/>
          <c:tx>
            <c:strRef>
              <c:f>OTHER!$AG$7</c:f>
              <c:strCache>
                <c:ptCount val="1"/>
                <c:pt idx="0">
                  <c:v>Car shipments (units)</c:v>
                </c:pt>
              </c:strCache>
            </c:strRef>
          </c:tx>
          <c:spPr>
            <a:ln xmlns:a="http://schemas.openxmlformats.org/drawingml/2006/main" w="28575">
              <a:solidFill>
                <a:schemeClr val="accent1"/>
              </a:solidFill>
            </a:ln>
          </c:spPr>
          <c:marker>
            <c:symbol val="none"/>
          </c:marker>
          <c:cat>
            <c:strRef>
              <c:f>OTHER!$AF$8:$AF$22</c:f>
              <c:strCache>
                <c:ptCount val="15"/>
                <c:pt idx="0">
                  <c:v>FY21</c:v>
                </c:pt>
                <c:pt idx="1">
                  <c:v>FY22</c:v>
                </c:pt>
                <c:pt idx="2">
                  <c:v>FY23</c:v>
                </c:pt>
                <c:pt idx="3">
                  <c:v>FY24</c:v>
                </c:pt>
                <c:pt idx="4">
                  <c:v>FY25</c:v>
                </c:pt>
                <c:pt idx="5">
                  <c:v>FY26F</c:v>
                </c:pt>
                <c:pt idx="6">
                  <c:v>FY27F</c:v>
                </c:pt>
                <c:pt idx="7">
                  <c:v>FY28F</c:v>
                </c:pt>
                <c:pt idx="8">
                  <c:v>FY29F</c:v>
                </c:pt>
                <c:pt idx="9">
                  <c:v>FY30F</c:v>
                </c:pt>
                <c:pt idx="10">
                  <c:v>FY31F</c:v>
                </c:pt>
                <c:pt idx="11">
                  <c:v>FY32F</c:v>
                </c:pt>
                <c:pt idx="12">
                  <c:v>FY33F</c:v>
                </c:pt>
                <c:pt idx="13">
                  <c:v>FY34F</c:v>
                </c:pt>
                <c:pt idx="14">
                  <c:v>FY35F</c:v>
                </c:pt>
              </c:strCache>
            </c:strRef>
          </c:cat>
          <c:val>
            <c:numRef>
              <c:f>OTHER!$AG$8:$AG$22</c:f>
              <c:numCache>
                <c:formatCode>#,##0</c:formatCode>
                <c:ptCount val="15"/>
                <c:pt idx="0">
                  <c:v>11155</c:v>
                </c:pt>
                <c:pt idx="1">
                  <c:v>13221</c:v>
                </c:pt>
                <c:pt idx="2">
                  <c:v>13663</c:v>
                </c:pt>
                <c:pt idx="3">
                  <c:v>13752</c:v>
                </c:pt>
                <c:pt idx="4">
                  <c:v>13640</c:v>
                </c:pt>
                <c:pt idx="5">
                  <c:v>13708.199999999999</c:v>
                </c:pt>
                <c:pt idx="6">
                  <c:v>13776.740999999998</c:v>
                </c:pt>
                <c:pt idx="7">
                  <c:v>13845.624704999997</c:v>
                </c:pt>
                <c:pt idx="8">
                  <c:v>13914.852828524996</c:v>
                </c:pt>
                <c:pt idx="9">
                  <c:v>13984.42709266762</c:v>
                </c:pt>
                <c:pt idx="10">
                  <c:v>14054.349228130957</c:v>
                </c:pt>
                <c:pt idx="11">
                  <c:v>14124.620974271611</c:v>
                </c:pt>
                <c:pt idx="12">
                  <c:v>14195.244079142967</c:v>
                </c:pt>
                <c:pt idx="13">
                  <c:v>14266.22029953868</c:v>
                </c:pt>
                <c:pt idx="14">
                  <c:v>14337.551401036371</c:v>
                </c:pt>
              </c:numCache>
            </c:numRef>
          </c:val>
          <c:smooth val="0"/>
        </c:ser>
        <c:dLbls>
          <c:showLegendKey val="0"/>
          <c:showVal val="0"/>
          <c:showCatName val="0"/>
          <c:showSerName val="0"/>
          <c:showPercent val="0"/>
          <c:showBubbleSize val="0"/>
        </c:dLbls>
        <c:smooth val="0"/>
        <c:axId val="1323297727"/>
        <c:axId val="1347722239"/>
      </c:lineChart>
      <c:lineChart>
        <c:grouping val="standard"/>
        <c:varyColors val="0"/>
        <c:ser>
          <c:idx val="1"/>
          <c:order val="1"/>
          <c:tx>
            <c:strRef>
              <c:f>OTHER!$AH$7</c:f>
              <c:strCache>
                <c:ptCount val="1"/>
                <c:pt idx="0">
                  <c:v>Revenue per car (€k)</c:v>
                </c:pt>
              </c:strCache>
            </c:strRef>
          </c:tx>
          <c:spPr>
            <a:ln xmlns:a="http://schemas.openxmlformats.org/drawingml/2006/main" w="28575">
              <a:solidFill>
                <a:srgbClr val="C00000"/>
              </a:solidFill>
            </a:ln>
          </c:spPr>
          <c:marker>
            <c:symbol val="none"/>
          </c:marker>
          <c:cat>
            <c:strRef>
              <c:f>OTHER!$AF$8:$AF$22</c:f>
              <c:strCache>
                <c:ptCount val="15"/>
                <c:pt idx="0">
                  <c:v>FY21</c:v>
                </c:pt>
                <c:pt idx="1">
                  <c:v>FY22</c:v>
                </c:pt>
                <c:pt idx="2">
                  <c:v>FY23</c:v>
                </c:pt>
                <c:pt idx="3">
                  <c:v>FY24</c:v>
                </c:pt>
                <c:pt idx="4">
                  <c:v>FY25</c:v>
                </c:pt>
                <c:pt idx="5">
                  <c:v>FY26F</c:v>
                </c:pt>
                <c:pt idx="6">
                  <c:v>FY27F</c:v>
                </c:pt>
                <c:pt idx="7">
                  <c:v>FY28F</c:v>
                </c:pt>
                <c:pt idx="8">
                  <c:v>FY29F</c:v>
                </c:pt>
                <c:pt idx="9">
                  <c:v>FY30F</c:v>
                </c:pt>
                <c:pt idx="10">
                  <c:v>FY31F</c:v>
                </c:pt>
                <c:pt idx="11">
                  <c:v>FY32F</c:v>
                </c:pt>
                <c:pt idx="12">
                  <c:v>FY33F</c:v>
                </c:pt>
                <c:pt idx="13">
                  <c:v>FY34F</c:v>
                </c:pt>
                <c:pt idx="14">
                  <c:v>FY35F</c:v>
                </c:pt>
              </c:strCache>
            </c:strRef>
          </c:cat>
          <c:val>
            <c:numRef>
              <c:f>OTHER!$AH$8:$AH$22</c:f>
              <c:numCache>
                <c:formatCode>#,##0</c:formatCode>
                <c:ptCount val="15"/>
                <c:pt idx="0">
                  <c:v>318.4973554459883</c:v>
                </c:pt>
                <c:pt idx="1">
                  <c:v>326.8376068376068</c:v>
                </c:pt>
                <c:pt idx="2">
                  <c:v>374.6747420039523</c:v>
                </c:pt>
                <c:pt idx="3">
                  <c:v>416.4985456660849</c:v>
                </c:pt>
                <c:pt idx="4">
                  <c:v>440.26708211143693</c:v>
                </c:pt>
                <c:pt idx="5">
                  <c:v>457.7901500561708</c:v>
                </c:pt>
                <c:pt idx="6">
                  <c:v>480.56577941219916</c:v>
                </c:pt>
                <c:pt idx="7">
                  <c:v>504.4745246565872</c:v>
                </c:pt>
                <c:pt idx="8">
                  <c:v>527.0629362083748</c:v>
                </c:pt>
                <c:pt idx="9">
                  <c:v>548.0405655102007</c:v>
                </c:pt>
                <c:pt idx="10">
                  <c:v>567.1265553538395</c:v>
                </c:pt>
                <c:pt idx="11">
                  <c:v>584.0557062599244</c:v>
                </c:pt>
                <c:pt idx="12">
                  <c:v>598.5844551718629</c:v>
                </c:pt>
                <c:pt idx="13">
                  <c:v>613.4746157482775</c:v>
                </c:pt>
                <c:pt idx="14">
                  <c:v>625.6830658129198</c:v>
                </c:pt>
              </c:numCache>
            </c:numRef>
          </c:val>
          <c:smooth val="0"/>
        </c:ser>
        <c:dLbls>
          <c:showLegendKey val="0"/>
          <c:showVal val="0"/>
          <c:showCatName val="0"/>
          <c:showSerName val="0"/>
          <c:showPercent val="0"/>
          <c:showBubbleSize val="0"/>
        </c:dLbls>
        <c:smooth val="0"/>
        <c:axId val="1347715967"/>
        <c:axId val="1347728959"/>
      </c:lineChart>
      <c:catAx>
        <c:axId val="1323297727"/>
        <c:scaling>
          <c:orientation val="minMax"/>
        </c:scaling>
        <c:delete val="0"/>
        <c:axPos val="b"/>
        <c:numFmt formatCode="General" sourceLinked="1"/>
        <c:majorTickMark val="none"/>
        <c:minorTickMark val="none"/>
        <c:tickLblPos val="nextTo"/>
        <c:tickLblSkip val="2"/>
        <c:tickMarkSkip val="2"/>
        <c:spPr>
          <a:ln xmlns:a="http://schemas.openxmlformats.org/drawingml/2006/main" w="9525" cmpd="sng">
            <a:solidFill>
              <a:schemeClr val="tx1">
                <a:lumMod val="15000"/>
                <a:lumOff val="85000"/>
              </a:schemeClr>
            </a:solidFill>
          </a:ln>
        </c:spPr>
        <c:txPr>
          <a:bodyPr xmlns:a="http://schemas.openxmlformats.org/drawingml/2006/main" rot="-60000000" spcFirstLastPara="1" vert="horz" wrap="square" anchor="ctr" anchorCtr="1"/>
          <a:lstStyle xmlns:a="http://schemas.openxmlformats.org/drawingml/2006/main"/>
          <a:p xmlns:a="http://schemas.openxmlformats.org/drawingml/2006/main">
            <a:pPr>
              <a:defRPr sz="700" b="0" i="0" u="none" kern="1200" baseline="0">
                <a:solidFill>
                  <a:schemeClr val="tx1">
                    <a:lumMod val="65000"/>
                    <a:lumOff val="35000"/>
                  </a:schemeClr>
                </a:solidFill>
                <a:latin typeface="+mn-lt"/>
                <a:ea typeface="+mn-lt"/>
                <a:cs typeface="+mn-lt"/>
              </a:defRPr>
            </a:pPr>
          </a:p>
        </c:txPr>
        <c:crossAx val="1347722239"/>
        <c:crosses val="autoZero"/>
        <c:lblAlgn val="ctr"/>
        <c:noMultiLvlLbl val="0"/>
        <c:lblOffset val="100"/>
      </c:catAx>
      <c:valAx>
        <c:axId val="1347722239"/>
        <c:scaling>
          <c:orientation val="minMax"/>
          <c:max val="14500"/>
          <c:min val="11000"/>
        </c:scaling>
        <c:delete val="0"/>
        <c:axPos val="l"/>
        <c:majorGridlines>
          <c:spPr>
            <a:ln xmlns:a="http://schemas.openxmlformats.org/drawingml/2006/main" w="9525" cmpd="sng">
              <a:solidFill>
                <a:schemeClr val="tx1">
                  <a:lumMod val="15000"/>
                  <a:lumOff val="85000"/>
                </a:schemeClr>
              </a:solidFill>
            </a:ln>
          </c:spPr>
        </c:majorGridlines>
        <c:title>
          <c:tx>
            <c:rich>
              <a:bodyPr xmlns:a="http://schemas.openxmlformats.org/drawingml/2006/main"/>
              <a:lstStyle xmlns:a="http://schemas.openxmlformats.org/drawingml/2006/main"/>
              <a:p xmlns:a="http://schemas.openxmlformats.org/drawingml/2006/main">
                <a:pPr marL="0" marR="0" indent="0" defTabSz="914400">
                  <a:lnSpc>
                    <a:spcPct val="100000"/>
                  </a:lnSpc>
                  <a:spcBef>
                    <a:spcPts val="0"/>
                  </a:spcBef>
                  <a:spcAft>
                    <a:spcPts val="0"/>
                  </a:spcAft>
                  <a:buClrTx/>
                  <a:buSzTx/>
                  <a:buFontTx/>
                  <a:buNone/>
                  <a:defRPr sz="600" b="0" i="0" u="none" kern="1200" baseline="0">
                    <a:solidFill>
                      <a:srgbClr val="000000">
                        <a:lumMod val="65000"/>
                        <a:lumOff val="35000"/>
                      </a:srgbClr>
                    </a:solidFill>
                    <a:latin typeface="+mn-lt"/>
                    <a:ea typeface="+mn-lt"/>
                    <a:cs typeface="+mn-lt"/>
                  </a:defRPr>
                </a:pPr>
                <a:r>
                  <a:rPr sz="600"/>
                  <a:t>Car shipments (units) </a:t>
                </a:r>
              </a:p>
            </c:rich>
          </c:tx>
          <c:overlay val="0"/>
          <c:txPr>
            <a:bodyPr xmlns:a="http://schemas.openxmlformats.org/drawingml/2006/main" rot="-5400000" spcFirstLastPara="1" vert="horz" wrap="square" anchor="ctr" anchorCtr="1"/>
            <a:lstStyle xmlns:a="http://schemas.openxmlformats.org/drawingml/2006/main"/>
            <a:p xmlns:a="http://schemas.openxmlformats.org/drawingml/2006/main">
              <a:pPr algn="ctr">
                <a:defRPr sz="600" b="0" i="0" u="none" kern="1200" baseline="0">
                  <a:solidFill>
                    <a:srgbClr val="000000">
                      <a:lumMod val="65000"/>
                      <a:lumOff val="35000"/>
                    </a:srgbClr>
                  </a:solidFill>
                  <a:latin typeface="+mn-lt"/>
                  <a:ea typeface="+mn-lt"/>
                  <a:cs typeface="+mn-lt"/>
                </a:defRPr>
              </a:pPr>
            </a:p>
          </c:txPr>
        </c:title>
        <c:numFmt formatCode="#,##0" sourceLinked="1"/>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600" b="0" i="0" u="none" kern="1200" baseline="0">
                <a:solidFill>
                  <a:schemeClr val="tx1">
                    <a:lumMod val="65000"/>
                    <a:lumOff val="35000"/>
                  </a:schemeClr>
                </a:solidFill>
                <a:latin typeface="+mn-lt"/>
                <a:ea typeface="+mn-lt"/>
                <a:cs typeface="+mn-lt"/>
              </a:defRPr>
            </a:pPr>
          </a:p>
        </c:txPr>
        <c:crossAx val="1323297727"/>
        <c:crosses val="autoZero"/>
        <c:crossBetween val="between"/>
      </c:valAx>
      <c:valAx>
        <c:axId val="1347728959"/>
        <c:scaling>
          <c:orientation val="minMax"/>
          <c:min val="300"/>
        </c:scaling>
        <c:delete val="0"/>
        <c:axPos val="r"/>
        <c:title>
          <c:tx>
            <c:rich>
              <a:bodyPr xmlns:a="http://schemas.openxmlformats.org/drawingml/2006/main"/>
              <a:lstStyle xmlns:a="http://schemas.openxmlformats.org/drawingml/2006/main"/>
              <a:p xmlns:a="http://schemas.openxmlformats.org/drawingml/2006/main">
                <a:pPr>
                  <a:buNone/>
                  <a:defRPr sz="600" b="0" i="0" u="none" kern="1200" baseline="0">
                    <a:solidFill>
                      <a:schemeClr val="tx1">
                        <a:lumMod val="65000"/>
                        <a:lumOff val="35000"/>
                      </a:schemeClr>
                    </a:solidFill>
                    <a:latin typeface="+mn-lt"/>
                    <a:ea typeface="+mn-lt"/>
                    <a:cs typeface="+mn-lt"/>
                  </a:defRPr>
                </a:pPr>
                <a:r>
                  <a:rPr sz="600"/>
                  <a:t>Revenue per car (€k)</a:t>
                </a:r>
              </a:p>
            </c:rich>
          </c:tx>
          <c:overlay val="0"/>
          <c:txPr>
            <a:bodyPr xmlns:a="http://schemas.openxmlformats.org/drawingml/2006/main" rot="-5400000" spcFirstLastPara="1" vert="horz" wrap="square" anchor="ctr" anchorCtr="1"/>
            <a:lstStyle xmlns:a="http://schemas.openxmlformats.org/drawingml/2006/main"/>
            <a:p xmlns:a="http://schemas.openxmlformats.org/drawingml/2006/main">
              <a:pPr>
                <a:defRPr sz="600" b="0" i="0" u="none" kern="1200" baseline="0">
                  <a:solidFill>
                    <a:schemeClr val="tx1">
                      <a:lumMod val="65000"/>
                      <a:lumOff val="35000"/>
                    </a:schemeClr>
                  </a:solidFill>
                  <a:latin typeface="+mn-lt"/>
                  <a:ea typeface="+mn-lt"/>
                  <a:cs typeface="+mn-lt"/>
                </a:defRPr>
              </a:pPr>
            </a:p>
          </c:txPr>
        </c:title>
        <c:numFmt formatCode="#,##0" sourceLinked="1"/>
        <c:majorTickMark val="out"/>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700" b="0" i="0" u="none" kern="1200" baseline="0">
                <a:solidFill>
                  <a:schemeClr val="tx1">
                    <a:lumMod val="65000"/>
                    <a:lumOff val="35000"/>
                  </a:schemeClr>
                </a:solidFill>
                <a:latin typeface="+mn-lt"/>
                <a:ea typeface="+mn-lt"/>
                <a:cs typeface="+mn-lt"/>
              </a:defRPr>
            </a:pPr>
          </a:p>
        </c:txPr>
        <c:crossAx val="1347715967"/>
        <c:crosses val="max"/>
        <c:crossBetween val="between"/>
      </c:valAx>
      <c:catAx>
        <c:axId val="1347715967"/>
        <c:scaling>
          <c:orientation val="minMax"/>
        </c:scaling>
        <c:delete val="1"/>
        <c:axPos val="b"/>
        <c:numFmt formatCode="General" sourceLinked="1"/>
        <c:majorTickMark val="out"/>
        <c:minorTickMark val="none"/>
        <c:tickLblPos val="nextTo"/>
        <c:crossAx val="1347728959"/>
        <c:crosses val="autoZero"/>
        <c:lblAlgn val="ctr"/>
        <c:noMultiLvlLbl val="0"/>
        <c:lblOffset val="100"/>
      </c:catAx>
      <c:spPr>
        <a:noFill xmlns:a="http://schemas.openxmlformats.org/drawingml/2006/main"/>
        <a:ln xmlns:a="http://schemas.openxmlformats.org/drawingml/2006/main">
          <a:noFill/>
        </a:ln>
      </c:spPr>
    </c:plotArea>
    <c:legend>
      <c:legendPos val="b"/>
      <c:overlay val="0"/>
      <c:spPr>
        <a:noFill xmlns:a="http://schemas.openxmlformats.org/drawingml/2006/main"/>
      </c:spPr>
      <c:txPr>
        <a:bodyPr xmlns:a="http://schemas.openxmlformats.org/drawingml/2006/main" rot="0" vert="horz" anchor="ctr" anchorCtr="1"/>
        <a:lstStyle xmlns:a="http://schemas.openxmlformats.org/drawingml/2006/main"/>
        <a:p xmlns:a="http://schemas.openxmlformats.org/drawingml/2006/main">
          <a:pPr>
            <a:defRPr sz="600" b="0" i="0" u="none">
              <a:solidFill>
                <a:schemeClr val="tx1">
                  <a:lumMod val="65000"/>
                  <a:lumOff val="35000"/>
                </a:schemeClr>
              </a:solidFill>
              <a:latin typeface="+mn-lt"/>
              <a:ea typeface="+mn-lt"/>
              <a:cs typeface="+mn-lt"/>
            </a:defRPr>
          </a:pPr>
        </a:p>
      </c:txPr>
    </c:legend>
    <c:plotVisOnly val="1"/>
  </c:chart>
  <c:spPr>
    <a:solidFill xmlns:a="http://schemas.openxmlformats.org/drawingml/2006/main">
      <a:schemeClr val="bg1"/>
    </a:solidFill>
    <a:ln xmlns:a="http://schemas.openxmlformats.org/drawingml/2006/main" w="9525" cmpd="sng">
      <a:solidFill>
        <a:schemeClr val="tx1">
          <a:lumMod val="15000"/>
          <a:lumOff val="85000"/>
        </a:schemeClr>
      </a:solidFill>
    </a:ln>
  </c:spPr>
</c:chartSpace>
</file>

<file path=xl/drawings/charts/chart9.xml><?xml version="1.0" encoding="utf-8"?>
<c:chartSpace xmlns:mc="http://schemas.openxmlformats.org/markup-compatibility/2006" xmlns:c14="http://schemas.microsoft.com/office/drawing/2007/8/2/chart" xmlns:c="http://schemas.openxmlformats.org/drawingml/2006/chart" mc:Ignorable="c14">
  <c:lang val="en-US"/>
  <c:roundedCorners val="0"/>
  <mc:AlternateContent>
    <mc:Choice Requires="c14">
      <c14:style val="102"/>
    </mc:Choice>
    <mc:Fallback>
      <c:style val="2"/>
    </mc:Fallback>
  </mc:AlternateContent>
  <c:chart>
    <c:autoTitleDeleted val="1"/>
    <c:plotArea>
      <c:barChart>
        <c:barDir val="col"/>
        <c:grouping val="clustered"/>
        <c:varyColors val="0"/>
        <c:ser>
          <c:idx val="0"/>
          <c:order val="0"/>
          <c:tx>
            <c:strRef>
              <c:f>OTHER!$AF$26</c:f>
              <c:strCache>
                <c:ptCount val="1"/>
                <c:pt idx="0">
                  <c:v>Revenue (€bn)</c:v>
                </c:pt>
              </c:strCache>
            </c:strRef>
          </c:tx>
          <c:spPr>
            <a:solidFill xmlns:a="http://schemas.openxmlformats.org/drawingml/2006/main">
              <a:schemeClr val="accent1"/>
            </a:solidFill>
            <a:ln xmlns:a="http://schemas.openxmlformats.org/drawingml/2006/main">
              <a:noFill/>
            </a:ln>
          </c:spPr>
          <c:invertIfNegative val="0"/>
          <c:cat>
            <c:strRef>
              <c:f>OTHER!$AE$27:$AE$37</c:f>
              <c:strCache>
                <c:ptCount val="11"/>
                <c:pt idx="0">
                  <c:v>FY2025</c:v>
                </c:pt>
                <c:pt idx="1">
                  <c:v>FY2026E</c:v>
                </c:pt>
                <c:pt idx="2">
                  <c:v>FY2027E</c:v>
                </c:pt>
                <c:pt idx="3">
                  <c:v>FY2028E</c:v>
                </c:pt>
                <c:pt idx="4">
                  <c:v>FY2029E</c:v>
                </c:pt>
                <c:pt idx="5">
                  <c:v>FY2030E</c:v>
                </c:pt>
                <c:pt idx="6">
                  <c:v>FY2031E</c:v>
                </c:pt>
                <c:pt idx="7">
                  <c:v>FY2032E</c:v>
                </c:pt>
                <c:pt idx="8">
                  <c:v>FY2033E</c:v>
                </c:pt>
                <c:pt idx="9">
                  <c:v>FY2034E</c:v>
                </c:pt>
                <c:pt idx="10">
                  <c:v>FY2035E</c:v>
                </c:pt>
              </c:strCache>
            </c:strRef>
          </c:cat>
          <c:val>
            <c:numRef>
              <c:f>OTHER!$AF$27:$AF$37</c:f>
              <c:numCache>
                <c:formatCode>0.00</c:formatCode>
                <c:ptCount val="11"/>
                <c:pt idx="0">
                  <c:v>7.145768</c:v>
                </c:pt>
                <c:pt idx="1">
                  <c:v>7.510797995</c:v>
                </c:pt>
                <c:pt idx="2">
                  <c:v>7.954944934324999</c:v>
                </c:pt>
                <c:pt idx="3">
                  <c:v>8.421809644819373</c:v>
                </c:pt>
                <c:pt idx="4">
                  <c:v>8.87694934728291</c:v>
                </c:pt>
                <c:pt idx="5">
                  <c:v>9.3153954162032</c:v>
                </c:pt>
                <c:pt idx="6">
                  <c:v>9.736492588520115</c:v>
                </c:pt>
                <c:pt idx="7">
                  <c:v>10.131738468563562</c:v>
                </c:pt>
                <c:pt idx="8">
                  <c:v>10.486925186598649</c:v>
                </c:pt>
                <c:pt idx="9">
                  <c:v>10.848302779885262</c:v>
                </c:pt>
                <c:pt idx="10">
                  <c:v>11.163042728499603</c:v>
                </c:pt>
              </c:numCache>
            </c:numRef>
          </c:val>
        </c:ser>
        <c:ser>
          <c:idx val="1"/>
          <c:order val="1"/>
          <c:tx>
            <c:strRef>
              <c:f>OTHER!$AG$26</c:f>
              <c:strCache>
                <c:ptCount val="1"/>
                <c:pt idx="0">
                  <c:v>Unlevered FCF (€bn)</c:v>
                </c:pt>
              </c:strCache>
            </c:strRef>
          </c:tx>
          <c:spPr>
            <a:solidFill xmlns:a="http://schemas.openxmlformats.org/drawingml/2006/main">
              <a:srgbClr val="C00000"/>
            </a:solidFill>
            <a:ln xmlns:a="http://schemas.openxmlformats.org/drawingml/2006/main">
              <a:noFill/>
            </a:ln>
          </c:spPr>
          <c:invertIfNegative val="0"/>
          <c:cat>
            <c:strRef>
              <c:f>OTHER!$AE$27:$AE$37</c:f>
              <c:strCache>
                <c:ptCount val="11"/>
                <c:pt idx="0">
                  <c:v>FY2025</c:v>
                </c:pt>
                <c:pt idx="1">
                  <c:v>FY2026E</c:v>
                </c:pt>
                <c:pt idx="2">
                  <c:v>FY2027E</c:v>
                </c:pt>
                <c:pt idx="3">
                  <c:v>FY2028E</c:v>
                </c:pt>
                <c:pt idx="4">
                  <c:v>FY2029E</c:v>
                </c:pt>
                <c:pt idx="5">
                  <c:v>FY2030E</c:v>
                </c:pt>
                <c:pt idx="6">
                  <c:v>FY2031E</c:v>
                </c:pt>
                <c:pt idx="7">
                  <c:v>FY2032E</c:v>
                </c:pt>
                <c:pt idx="8">
                  <c:v>FY2033E</c:v>
                </c:pt>
                <c:pt idx="9">
                  <c:v>FY2034E</c:v>
                </c:pt>
                <c:pt idx="10">
                  <c:v>FY2035E</c:v>
                </c:pt>
              </c:strCache>
            </c:strRef>
          </c:cat>
          <c:val>
            <c:numRef>
              <c:f>OTHER!$AG$27:$AG$37</c:f>
              <c:numCache>
                <c:formatCode>0.00</c:formatCode>
                <c:ptCount val="11"/>
                <c:pt idx="0">
                  <c:v>1.4181817043028442</c:v>
                </c:pt>
                <c:pt idx="1">
                  <c:v>1.399598158221471</c:v>
                </c:pt>
                <c:pt idx="2">
                  <c:v>1.5224928281492833</c:v>
                </c:pt>
                <c:pt idx="3">
                  <c:v>1.6478070367750888</c:v>
                </c:pt>
                <c:pt idx="4">
                  <c:v>1.7873474433198786</c:v>
                </c:pt>
                <c:pt idx="5">
                  <c:v>1.9073447640724297</c:v>
                </c:pt>
                <c:pt idx="6">
                  <c:v>2.016240582665467</c:v>
                </c:pt>
                <c:pt idx="7">
                  <c:v>2.1192413812929347</c:v>
                </c:pt>
                <c:pt idx="8">
                  <c:v>2.231977264153697</c:v>
                </c:pt>
                <c:pt idx="9">
                  <c:v>2.3304031438859942</c:v>
                </c:pt>
                <c:pt idx="10">
                  <c:v>2.4119565904093854</c:v>
                </c:pt>
              </c:numCache>
            </c:numRef>
          </c:val>
        </c:ser>
        <c:dLbls>
          <c:showLegendKey val="0"/>
          <c:showVal val="0"/>
          <c:showCatName val="0"/>
          <c:showSerName val="0"/>
          <c:showPercent val="0"/>
          <c:showBubbleSize val="0"/>
        </c:dLbls>
        <c:gapWidth val="219"/>
        <c:overlap val="-27"/>
        <c:axId val="1693953408"/>
        <c:axId val="1693945344"/>
      </c:barChart>
      <c:lineChart>
        <c:grouping val="standard"/>
        <c:varyColors val="0"/>
        <c:ser>
          <c:idx val="2"/>
          <c:order val="2"/>
          <c:tx>
            <c:strRef>
              <c:f>OTHER!$AH$26</c:f>
              <c:strCache>
                <c:ptCount val="1"/>
                <c:pt idx="0">
                  <c:v>Revenue Growth</c:v>
                </c:pt>
              </c:strCache>
            </c:strRef>
          </c:tx>
          <c:spPr>
            <a:ln xmlns:a="http://schemas.openxmlformats.org/drawingml/2006/main" w="28575">
              <a:solidFill>
                <a:schemeClr val="accent3"/>
              </a:solidFill>
            </a:ln>
          </c:spPr>
          <c:marker>
            <c:symbol val="none"/>
          </c:marker>
          <c:cat>
            <c:strRef>
              <c:f>OTHER!$AE$27:$AE$37</c:f>
              <c:strCache>
                <c:ptCount val="11"/>
                <c:pt idx="0">
                  <c:v>FY2025</c:v>
                </c:pt>
                <c:pt idx="1">
                  <c:v>FY2026E</c:v>
                </c:pt>
                <c:pt idx="2">
                  <c:v>FY2027E</c:v>
                </c:pt>
                <c:pt idx="3">
                  <c:v>FY2028E</c:v>
                </c:pt>
                <c:pt idx="4">
                  <c:v>FY2029E</c:v>
                </c:pt>
                <c:pt idx="5">
                  <c:v>FY2030E</c:v>
                </c:pt>
                <c:pt idx="6">
                  <c:v>FY2031E</c:v>
                </c:pt>
                <c:pt idx="7">
                  <c:v>FY2032E</c:v>
                </c:pt>
                <c:pt idx="8">
                  <c:v>FY2033E</c:v>
                </c:pt>
                <c:pt idx="9">
                  <c:v>FY2034E</c:v>
                </c:pt>
                <c:pt idx="10">
                  <c:v>FY2035E</c:v>
                </c:pt>
              </c:strCache>
            </c:strRef>
          </c:cat>
          <c:val>
            <c:numRef>
              <c:f>OTHER!$AH$27:$AH$37</c:f>
              <c:numCache>
                <c:formatCode>0.00%</c:formatCode>
                <c:ptCount val="11"/>
                <c:pt idx="0">
                  <c:v>0.07025959655325087</c:v>
                </c:pt>
                <c:pt idx="1">
                  <c:v>0.05108338180024874</c:v>
                </c:pt>
                <c:pt idx="2">
                  <c:v>0.05913445410469986</c:v>
                </c:pt>
                <c:pt idx="3">
                  <c:v>0.05868861624420396</c:v>
                </c:pt>
                <c:pt idx="4">
                  <c:v>0.054042981456308814</c:v>
                </c:pt>
                <c:pt idx="5">
                  <c:v>0.049391525372902256</c:v>
                </c:pt>
                <c:pt idx="6">
                  <c:v>0.04520443346768266</c:v>
                </c:pt>
                <c:pt idx="7">
                  <c:v>0.04059427729750076</c:v>
                </c:pt>
                <c:pt idx="8">
                  <c:v>0.03505683838337803</c:v>
                </c:pt>
                <c:pt idx="9">
                  <c:v>0.034459823719198646</c:v>
                </c:pt>
                <c:pt idx="10">
                  <c:v>0.0290128285502802</c:v>
                </c:pt>
              </c:numCache>
            </c:numRef>
          </c:val>
          <c:smooth val="0"/>
        </c:ser>
        <c:dLbls>
          <c:showLegendKey val="0"/>
          <c:showVal val="0"/>
          <c:showCatName val="0"/>
          <c:showSerName val="0"/>
          <c:showPercent val="0"/>
          <c:showBubbleSize val="0"/>
        </c:dLbls>
        <c:smooth val="0"/>
        <c:axId val="1693955200"/>
        <c:axId val="1693951168"/>
      </c:lineChart>
      <c:catAx>
        <c:axId val="1693953408"/>
        <c:scaling>
          <c:orientation val="minMax"/>
        </c:scaling>
        <c:delete val="0"/>
        <c:axPos val="b"/>
        <c:numFmt formatCode="General" sourceLinked="1"/>
        <c:majorTickMark val="none"/>
        <c:minorTickMark val="none"/>
        <c:tickLblPos val="nextTo"/>
        <c:spPr>
          <a:ln xmlns:a="http://schemas.openxmlformats.org/drawingml/2006/main" w="9525" cmpd="sng">
            <a:solidFill>
              <a:schemeClr val="tx1">
                <a:lumMod val="15000"/>
                <a:lumOff val="85000"/>
              </a:schemeClr>
            </a:solidFill>
          </a:ln>
        </c:spPr>
        <c:txPr>
          <a:bodyPr xmlns:a="http://schemas.openxmlformats.org/drawingml/2006/main" rot="-60000000" spcFirstLastPara="1" vert="horz" wrap="square" anchor="ctr" anchorCtr="1"/>
          <a:lstStyle xmlns:a="http://schemas.openxmlformats.org/drawingml/2006/main"/>
          <a:p xmlns:a="http://schemas.openxmlformats.org/drawingml/2006/main">
            <a:pPr>
              <a:defRPr sz="700" b="0" i="0" u="none" kern="1200" baseline="0">
                <a:solidFill>
                  <a:schemeClr val="tx1">
                    <a:lumMod val="65000"/>
                    <a:lumOff val="35000"/>
                  </a:schemeClr>
                </a:solidFill>
                <a:latin typeface="+mn-lt"/>
                <a:ea typeface="+mn-lt"/>
                <a:cs typeface="+mn-lt"/>
              </a:defRPr>
            </a:pPr>
          </a:p>
        </c:txPr>
        <c:crossAx val="1693945344"/>
        <c:crosses val="autoZero"/>
        <c:lblAlgn val="ctr"/>
        <c:noMultiLvlLbl val="0"/>
        <c:lblOffset val="100"/>
      </c:catAx>
      <c:valAx>
        <c:axId val="1693945344"/>
        <c:scaling>
          <c:orientation val="minMax"/>
        </c:scaling>
        <c:delete val="0"/>
        <c:axPos val="l"/>
        <c:majorGridlines>
          <c:spPr>
            <a:ln xmlns:a="http://schemas.openxmlformats.org/drawingml/2006/main" w="9525" cmpd="sng">
              <a:solidFill>
                <a:schemeClr val="tx1">
                  <a:lumMod val="15000"/>
                  <a:lumOff val="85000"/>
                </a:schemeClr>
              </a:solidFill>
            </a:ln>
          </c:spPr>
        </c:majorGridlines>
        <c:title>
          <c:tx>
            <c:rich>
              <a:bodyPr xmlns:a="http://schemas.openxmlformats.org/drawingml/2006/main"/>
              <a:lstStyle xmlns:a="http://schemas.openxmlformats.org/drawingml/2006/main"/>
              <a:p xmlns:a="http://schemas.openxmlformats.org/drawingml/2006/main">
                <a:pPr>
                  <a:buNone/>
                  <a:defRPr sz="1000" b="0" i="0" u="none" kern="1200" baseline="0">
                    <a:solidFill>
                      <a:schemeClr val="tx1">
                        <a:lumMod val="65000"/>
                        <a:lumOff val="35000"/>
                      </a:schemeClr>
                    </a:solidFill>
                    <a:latin typeface="+mn-lt"/>
                    <a:ea typeface="+mn-lt"/>
                    <a:cs typeface="+mn-lt"/>
                  </a:defRPr>
                </a:pPr>
                <a:r>
                  <a:t>Billions</a:t>
                </a:r>
                <a:r>
                  <a:rPr baseline="0"/>
                  <a:t>  €</a:t>
                </a:r>
              </a:p>
            </c:rich>
          </c:tx>
          <c:overlay val="0"/>
          <c:txPr>
            <a:bodyPr xmlns:a="http://schemas.openxmlformats.org/drawingml/2006/main" rot="-5400000" spcFirstLastPara="1" vert="horz" wrap="square" anchor="ctr" anchorCtr="1"/>
            <a:lstStyle xmlns:a="http://schemas.openxmlformats.org/drawingml/2006/main"/>
            <a:p xmlns:a="http://schemas.openxmlformats.org/drawingml/2006/main">
              <a:pPr>
                <a:defRPr sz="1000" b="0" i="0" u="none" kern="1200" baseline="0">
                  <a:solidFill>
                    <a:schemeClr val="tx1">
                      <a:lumMod val="65000"/>
                      <a:lumOff val="35000"/>
                    </a:schemeClr>
                  </a:solidFill>
                  <a:latin typeface="+mn-lt"/>
                  <a:ea typeface="+mn-lt"/>
                  <a:cs typeface="+mn-lt"/>
                </a:defRPr>
              </a:pPr>
            </a:p>
          </c:txPr>
        </c:title>
        <c:numFmt formatCode="0.00" sourceLinked="1"/>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900" b="0" i="0" u="none" kern="1200" baseline="0">
                <a:solidFill>
                  <a:schemeClr val="tx1">
                    <a:lumMod val="65000"/>
                    <a:lumOff val="35000"/>
                  </a:schemeClr>
                </a:solidFill>
                <a:latin typeface="+mn-lt"/>
                <a:ea typeface="+mn-lt"/>
                <a:cs typeface="+mn-lt"/>
              </a:defRPr>
            </a:pPr>
          </a:p>
        </c:txPr>
        <c:crossAx val="1693953408"/>
        <c:crosses val="autoZero"/>
        <c:crossBetween val="between"/>
      </c:valAx>
      <c:valAx>
        <c:axId val="1693951168"/>
        <c:scaling>
          <c:orientation val="minMax"/>
        </c:scaling>
        <c:delete val="0"/>
        <c:axPos val="r"/>
        <c:title>
          <c:tx>
            <c:rich>
              <a:bodyPr xmlns:a="http://schemas.openxmlformats.org/drawingml/2006/main"/>
              <a:lstStyle xmlns:a="http://schemas.openxmlformats.org/drawingml/2006/main"/>
              <a:p xmlns:a="http://schemas.openxmlformats.org/drawingml/2006/main">
                <a:pPr>
                  <a:buNone/>
                  <a:defRPr sz="1000" b="0" i="0" u="none" kern="1200" baseline="0">
                    <a:solidFill>
                      <a:schemeClr val="tx1">
                        <a:lumMod val="65000"/>
                        <a:lumOff val="35000"/>
                      </a:schemeClr>
                    </a:solidFill>
                    <a:latin typeface="+mn-lt"/>
                    <a:ea typeface="+mn-lt"/>
                    <a:cs typeface="+mn-lt"/>
                  </a:defRPr>
                </a:pPr>
                <a:r>
                  <a:t>Revenue</a:t>
                </a:r>
                <a:r>
                  <a:rPr baseline="0"/>
                  <a:t> Growth</a:t>
                </a:r>
              </a:p>
            </c:rich>
          </c:tx>
          <c:overlay val="0"/>
          <c:txPr>
            <a:bodyPr xmlns:a="http://schemas.openxmlformats.org/drawingml/2006/main" rot="-5400000" spcFirstLastPara="1" vert="horz" wrap="square" anchor="ctr" anchorCtr="1"/>
            <a:lstStyle xmlns:a="http://schemas.openxmlformats.org/drawingml/2006/main"/>
            <a:p xmlns:a="http://schemas.openxmlformats.org/drawingml/2006/main">
              <a:pPr>
                <a:defRPr sz="1000" b="0" i="0" u="none" kern="1200" baseline="0">
                  <a:solidFill>
                    <a:schemeClr val="tx1">
                      <a:lumMod val="65000"/>
                      <a:lumOff val="35000"/>
                    </a:schemeClr>
                  </a:solidFill>
                  <a:latin typeface="+mn-lt"/>
                  <a:ea typeface="+mn-lt"/>
                  <a:cs typeface="+mn-lt"/>
                </a:defRPr>
              </a:pPr>
            </a:p>
          </c:txPr>
        </c:title>
        <c:numFmt formatCode="0.00%" sourceLinked="1"/>
        <c:majorTickMark val="none"/>
        <c:minorTickMark val="none"/>
        <c:tickLblPos val="nextTo"/>
        <c:spPr>
          <a:ln xmlns:a="http://schemas.openxmlformats.org/drawingml/2006/main">
            <a:noFill/>
          </a:ln>
        </c:spPr>
        <c:txPr>
          <a:bodyPr xmlns:a="http://schemas.openxmlformats.org/drawingml/2006/main" rot="-60000000" vert="horz" anchor="ctr" anchorCtr="1"/>
          <a:lstStyle xmlns:a="http://schemas.openxmlformats.org/drawingml/2006/main"/>
          <a:p xmlns:a="http://schemas.openxmlformats.org/drawingml/2006/main">
            <a:pPr>
              <a:defRPr sz="900" b="0" i="0" u="none" kern="1200" baseline="0">
                <a:solidFill>
                  <a:schemeClr val="tx1">
                    <a:lumMod val="65000"/>
                    <a:lumOff val="35000"/>
                  </a:schemeClr>
                </a:solidFill>
                <a:latin typeface="+mn-lt"/>
                <a:ea typeface="+mn-lt"/>
                <a:cs typeface="+mn-lt"/>
              </a:defRPr>
            </a:pPr>
          </a:p>
        </c:txPr>
        <c:crossAx val="1693955200"/>
        <c:crosses val="max"/>
        <c:crossBetween val="between"/>
      </c:valAx>
      <c:catAx>
        <c:axId val="1693955200"/>
        <c:scaling>
          <c:orientation val="minMax"/>
        </c:scaling>
        <c:delete val="1"/>
        <c:axPos val="b"/>
        <c:numFmt formatCode="General" sourceLinked="1"/>
        <c:majorTickMark val="none"/>
        <c:minorTickMark val="none"/>
        <c:tickLblPos val="nextTo"/>
        <c:crossAx val="1693951168"/>
        <c:lblAlgn val="ctr"/>
        <c:noMultiLvlLbl val="0"/>
        <c:lblOffset val="100"/>
      </c:catAx>
      <c:spPr>
        <a:noFill xmlns:a="http://schemas.openxmlformats.org/drawingml/2006/main"/>
        <a:ln xmlns:a="http://schemas.openxmlformats.org/drawingml/2006/main">
          <a:noFill/>
        </a:ln>
      </c:spPr>
    </c:plotArea>
    <c:legend>
      <c:legendPos val="b"/>
      <c:overlay val="0"/>
      <c:spPr>
        <a:noFill xmlns:a="http://schemas.openxmlformats.org/drawingml/2006/main"/>
      </c:spPr>
      <c:txPr>
        <a:bodyPr xmlns:a="http://schemas.openxmlformats.org/drawingml/2006/main" rot="0" vert="horz" anchor="ctr" anchorCtr="1"/>
        <a:lstStyle xmlns:a="http://schemas.openxmlformats.org/drawingml/2006/main"/>
        <a:p xmlns:a="http://schemas.openxmlformats.org/drawingml/2006/main">
          <a:pPr>
            <a:defRPr sz="700" b="0" i="0" u="none">
              <a:solidFill>
                <a:schemeClr val="tx1">
                  <a:lumMod val="65000"/>
                  <a:lumOff val="35000"/>
                </a:schemeClr>
              </a:solidFill>
              <a:latin typeface="+mn-lt"/>
              <a:ea typeface="+mn-lt"/>
              <a:cs typeface="+mn-lt"/>
            </a:defRPr>
          </a:pPr>
        </a:p>
      </c:txPr>
    </c:legend>
    <c:plotVisOnly val="1"/>
  </c:chart>
  <c:spPr>
    <a:solidFill xmlns:a="http://schemas.openxmlformats.org/drawingml/2006/main">
      <a:schemeClr val="bg1"/>
    </a:solidFill>
    <a:ln xmlns:a="http://schemas.openxmlformats.org/drawingml/2006/main" w="9525" cmpd="sng">
      <a:solidFill>
        <a:schemeClr val="tx1">
          <a:lumMod val="15000"/>
          <a:lumOff val="85000"/>
        </a:schemeClr>
      </a:solidFill>
    </a:ln>
  </c:spPr>
</c:chartSpace>
</file>

<file path=xl/drawings/drawing1.xml><?xml version="1.0" encoding="utf-8"?>
<xdr:wsDr xmlns:xdr="http://schemas.openxmlformats.org/drawingml/2006/spreadsheetDrawing">
  <xdr:twoCellAnchor editAs="oneCell">
    <xdr:from>
      <xdr:col>19</xdr:col>
      <xdr:colOff>63360</xdr:colOff>
      <xdr:row>0</xdr:row>
      <xdr:rowOff>0</xdr:rowOff>
    </xdr:from>
    <xdr:to>
      <xdr:col>20</xdr:col>
      <xdr:colOff>759600</xdr:colOff>
      <xdr:row>6</xdr:row>
      <xdr:rowOff>163080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be51e11fc771411a"/>
        <a:stretch xmlns:a="http://schemas.openxmlformats.org/drawingml/2006/main">
          <a:fillRect/>
        </a:stretch>
      </xdr:blipFill>
      <xdr:spPr>
        <a:prstGeom xmlns:a="http://schemas.openxmlformats.org/drawingml/2006/main" prst="rect"/>
      </xdr:spPr>
    </xdr:pic>
    <xdr:clientData/>
  </xdr:twoCellAnchor>
</xdr:wsDr>
</file>

<file path=xl/drawings/drawing10.xml><?xml version="1.0" encoding="utf-8"?>
<xdr:wsDr xmlns:xdr="http://schemas.openxmlformats.org/drawingml/2006/spreadsheetDrawing">
  <xdr:twoCellAnchor editAs="oneCell">
    <xdr:from>
      <xdr:col>24</xdr:col>
      <xdr:colOff>102600</xdr:colOff>
      <xdr:row>0</xdr:row>
      <xdr:rowOff>12960</xdr:rowOff>
    </xdr:from>
    <xdr:to>
      <xdr:col>25</xdr:col>
      <xdr:colOff>803520</xdr:colOff>
      <xdr:row>6</xdr:row>
      <xdr:rowOff>166680</xdr:rowOff>
    </xdr:to>
    <xdr:pic>
      <xdr:nvPicPr>
        <xdr:cNvPr id="1" name="/xl/media/image7.png"/>
        <xdr:cNvPicPr>
          <a:picLocks xmlns:a="http://schemas.openxmlformats.org/drawingml/2006/main" noChangeAspect="1"/>
        </xdr:cNvPicPr>
      </xdr:nvPicPr>
      <xdr:blipFill>
        <a:blip xmlns:r="http://schemas.openxmlformats.org/officeDocument/2006/relationships" xmlns:a="http://schemas.openxmlformats.org/drawingml/2006/main" r:embed="R315083c6c783441e"/>
        <a:stretch xmlns:a="http://schemas.openxmlformats.org/drawingml/2006/main">
          <a:fillRect/>
        </a:stretch>
      </xdr:blipFill>
      <xdr:spPr>
        <a:prstGeom xmlns:a="http://schemas.openxmlformats.org/drawingml/2006/main" prst="rect"/>
      </xdr:spPr>
    </xdr:pic>
    <xdr:clientData/>
  </xdr:twoCellAnchor>
</xdr:wsDr>
</file>

<file path=xl/drawings/drawing11.xml><?xml version="1.0" encoding="utf-8"?>
<xdr:wsDr xmlns:xdr="http://schemas.openxmlformats.org/drawingml/2006/spreadsheetDrawing">
  <xdr:twoCellAnchor editAs="oneCell">
    <xdr:from>
      <xdr:col>24</xdr:col>
      <xdr:colOff>99720</xdr:colOff>
      <xdr:row>0</xdr:row>
      <xdr:rowOff>0</xdr:rowOff>
    </xdr:from>
    <xdr:to>
      <xdr:col>25</xdr:col>
      <xdr:colOff>831960</xdr:colOff>
      <xdr:row>8</xdr:row>
      <xdr:rowOff>46800</xdr:rowOff>
    </xdr:to>
    <xdr:pic>
      <xdr:nvPicPr>
        <xdr:cNvPr id="1" name="/xl/media/image8.png"/>
        <xdr:cNvPicPr>
          <a:picLocks xmlns:a="http://schemas.openxmlformats.org/drawingml/2006/main" noChangeAspect="1"/>
        </xdr:cNvPicPr>
      </xdr:nvPicPr>
      <xdr:blipFill>
        <a:blip xmlns:r="http://schemas.openxmlformats.org/officeDocument/2006/relationships" xmlns:a="http://schemas.openxmlformats.org/drawingml/2006/main" r:embed="R995b45b0e6b24000"/>
        <a:stretch xmlns:a="http://schemas.openxmlformats.org/drawingml/2006/main">
          <a:fillRect/>
        </a:stretch>
      </xdr:blipFill>
      <xdr:spPr>
        <a:prstGeom xmlns:a="http://schemas.openxmlformats.org/drawingml/2006/main" prst="rect"/>
      </xdr:spPr>
    </xdr:pic>
    <xdr:clientData/>
  </xdr:twoCellAnchor>
</xdr:wsDr>
</file>

<file path=xl/drawings/drawing12.xml><?xml version="1.0" encoding="utf-8"?>
<xdr:wsDr xmlns:xdr="http://schemas.openxmlformats.org/drawingml/2006/spreadsheetDrawing">
  <xdr:twoCellAnchor editAs="oneCell">
    <xdr:from>
      <xdr:col>24</xdr:col>
      <xdr:colOff>216000</xdr:colOff>
      <xdr:row>0</xdr:row>
      <xdr:rowOff>114480</xdr:rowOff>
    </xdr:from>
    <xdr:to>
      <xdr:col>25</xdr:col>
      <xdr:colOff>683641</xdr:colOff>
      <xdr:row>7</xdr:row>
      <xdr:rowOff>48960</xdr:rowOff>
    </xdr:to>
    <xdr:pic>
      <xdr:nvPicPr>
        <xdr:cNvPr id="1" name="/xl/media/image9.png"/>
        <xdr:cNvPicPr>
          <a:picLocks xmlns:a="http://schemas.openxmlformats.org/drawingml/2006/main" noChangeAspect="1"/>
        </xdr:cNvPicPr>
      </xdr:nvPicPr>
      <xdr:blipFill>
        <a:blip xmlns:r="http://schemas.openxmlformats.org/officeDocument/2006/relationships" xmlns:a="http://schemas.openxmlformats.org/drawingml/2006/main" r:embed="Rb012e4d987ee45e6"/>
        <a:stretch xmlns:a="http://schemas.openxmlformats.org/drawingml/2006/main">
          <a:fillRect/>
        </a:stretch>
      </xdr:blipFill>
      <xdr:spPr>
        <a:prstGeom xmlns:a="http://schemas.openxmlformats.org/drawingml/2006/main" prst="rect"/>
      </xdr:spPr>
    </xdr:pic>
    <xdr:clientData/>
  </xdr:twoCellAnchor>
</xdr:wsDr>
</file>

<file path=xl/drawings/drawing13.xml><?xml version="1.0" encoding="utf-8"?>
<xdr:wsDr xmlns:xdr="http://schemas.openxmlformats.org/drawingml/2006/spreadsheetDrawing">
  <xdr:twoCellAnchor editAs="oneCell">
    <xdr:from>
      <xdr:col>24</xdr:col>
      <xdr:colOff>216000</xdr:colOff>
      <xdr:row>0</xdr:row>
      <xdr:rowOff>114480</xdr:rowOff>
    </xdr:from>
    <xdr:to>
      <xdr:col>25</xdr:col>
      <xdr:colOff>683640</xdr:colOff>
      <xdr:row>7</xdr:row>
      <xdr:rowOff>52200</xdr:rowOff>
    </xdr:to>
    <xdr:pic>
      <xdr:nvPicPr>
        <xdr:cNvPr id="1" name="/xl/media/image10.png"/>
        <xdr:cNvPicPr>
          <a:picLocks xmlns:a="http://schemas.openxmlformats.org/drawingml/2006/main" noChangeAspect="1"/>
        </xdr:cNvPicPr>
      </xdr:nvPicPr>
      <xdr:blipFill>
        <a:blip xmlns:r="http://schemas.openxmlformats.org/officeDocument/2006/relationships" xmlns:a="http://schemas.openxmlformats.org/drawingml/2006/main" r:embed="R7dabadd334b040e0"/>
        <a:stretch xmlns:a="http://schemas.openxmlformats.org/drawingml/2006/main">
          <a:fillRect/>
        </a:stretch>
      </xdr:blipFill>
      <xdr:spPr>
        <a:prstGeom xmlns:a="http://schemas.openxmlformats.org/drawingml/2006/main" prst="rect"/>
      </xdr:spPr>
    </xdr:pic>
    <xdr:clientData/>
  </xdr:twoCellAnchor>
</xdr:wsDr>
</file>

<file path=xl/drawings/drawing14.xml><?xml version="1.0" encoding="utf-8"?>
<xdr:wsDr xmlns:xdr="http://schemas.openxmlformats.org/drawingml/2006/spreadsheetDrawing">
  <xdr:twoCellAnchor editAs="oneCell">
    <xdr:from>
      <xdr:col>24</xdr:col>
      <xdr:colOff>241200</xdr:colOff>
      <xdr:row>0</xdr:row>
      <xdr:rowOff>0</xdr:rowOff>
    </xdr:from>
    <xdr:to>
      <xdr:col>25</xdr:col>
      <xdr:colOff>708839</xdr:colOff>
      <xdr:row>6</xdr:row>
      <xdr:rowOff>144000</xdr:rowOff>
    </xdr:to>
    <xdr:pic>
      <xdr:nvPicPr>
        <xdr:cNvPr id="1" name="/xl/media/image11.png"/>
        <xdr:cNvPicPr>
          <a:picLocks xmlns:a="http://schemas.openxmlformats.org/drawingml/2006/main" noChangeAspect="1"/>
        </xdr:cNvPicPr>
      </xdr:nvPicPr>
      <xdr:blipFill>
        <a:blip xmlns:r="http://schemas.openxmlformats.org/officeDocument/2006/relationships" xmlns:a="http://schemas.openxmlformats.org/drawingml/2006/main" r:embed="Rcf9ba98734d44474"/>
        <a:stretch xmlns:a="http://schemas.openxmlformats.org/drawingml/2006/main">
          <a:fillRect/>
        </a:stretch>
      </xdr:blipFill>
      <xdr:spPr>
        <a:prstGeom xmlns:a="http://schemas.openxmlformats.org/drawingml/2006/main" prst="rect"/>
      </xdr:spPr>
    </xdr:pic>
    <xdr:clientData/>
  </xdr:twoCellAnchor>
</xdr:wsDr>
</file>

<file path=xl/drawings/drawing15.xml><?xml version="1.0" encoding="utf-8"?>
<xdr:wsDr xmlns:xdr="http://schemas.openxmlformats.org/drawingml/2006/spreadsheetDrawing">
  <xdr:twoCellAnchor editAs="oneCell">
    <xdr:from>
      <xdr:col>19</xdr:col>
      <xdr:colOff>241200</xdr:colOff>
      <xdr:row>0</xdr:row>
      <xdr:rowOff>0</xdr:rowOff>
    </xdr:from>
    <xdr:to>
      <xdr:col>20</xdr:col>
      <xdr:colOff>594720</xdr:colOff>
      <xdr:row>6</xdr:row>
      <xdr:rowOff>163080</xdr:rowOff>
    </xdr:to>
    <xdr:pic>
      <xdr:nvPicPr>
        <xdr:cNvPr id="1" name="/xl/media/image9.png"/>
        <xdr:cNvPicPr>
          <a:picLocks xmlns:a="http://schemas.openxmlformats.org/drawingml/2006/main" noChangeAspect="1"/>
        </xdr:cNvPicPr>
      </xdr:nvPicPr>
      <xdr:blipFill>
        <a:blip xmlns:r="http://schemas.openxmlformats.org/officeDocument/2006/relationships" xmlns:a="http://schemas.openxmlformats.org/drawingml/2006/main" r:embed="R7047523f99104819"/>
        <a:stretch xmlns:a="http://schemas.openxmlformats.org/drawingml/2006/main">
          <a:fillRect/>
        </a:stretch>
      </xdr:blipFill>
      <xdr:spPr>
        <a:prstGeom xmlns:a="http://schemas.openxmlformats.org/drawingml/2006/main" prst="rect"/>
      </xdr:spPr>
    </xdr:pic>
    <xdr:clientData/>
  </xdr:twoCellAnchor>
  <xdr:twoCellAnchor editAs="oneCell">
    <xdr:from>
      <xdr:col>24</xdr:col>
      <xdr:colOff>241200</xdr:colOff>
      <xdr:row>0</xdr:row>
      <xdr:rowOff>0</xdr:rowOff>
    </xdr:from>
    <xdr:to>
      <xdr:col>25</xdr:col>
      <xdr:colOff>510120</xdr:colOff>
      <xdr:row>6</xdr:row>
      <xdr:rowOff>174600</xdr:rowOff>
    </xdr:to>
    <xdr:pic>
      <xdr:nvPicPr>
        <xdr:cNvPr id="2" name="/xl/media/image9.png"/>
        <xdr:cNvPicPr>
          <a:picLocks xmlns:a="http://schemas.openxmlformats.org/drawingml/2006/main" noChangeAspect="1"/>
        </xdr:cNvPicPr>
      </xdr:nvPicPr>
      <xdr:blipFill>
        <a:blip xmlns:r="http://schemas.openxmlformats.org/officeDocument/2006/relationships" xmlns:a="http://schemas.openxmlformats.org/drawingml/2006/main" r:embed="R7047523f99104819"/>
        <a:stretch xmlns:a="http://schemas.openxmlformats.org/drawingml/2006/main">
          <a:fillRect/>
        </a:stretch>
      </xdr:blipFill>
      <xdr:spPr>
        <a:prstGeom xmlns:a="http://schemas.openxmlformats.org/drawingml/2006/main" prst="rect"/>
      </xdr:spPr>
    </xdr:pic>
    <xdr:clientData/>
  </xdr:twoCellAnchor>
</xdr:wsDr>
</file>

<file path=xl/drawings/drawing16.xml><?xml version="1.0" encoding="utf-8"?>
<xdr:wsDr xmlns:xdr="http://schemas.openxmlformats.org/drawingml/2006/spreadsheetDrawing">
  <xdr:twoCellAnchor editAs="oneCell">
    <xdr:from>
      <xdr:col>19</xdr:col>
      <xdr:colOff>216000</xdr:colOff>
      <xdr:row>0</xdr:row>
      <xdr:rowOff>114480</xdr:rowOff>
    </xdr:from>
    <xdr:to>
      <xdr:col>20</xdr:col>
      <xdr:colOff>547922</xdr:colOff>
      <xdr:row>7</xdr:row>
      <xdr:rowOff>74160</xdr:rowOff>
    </xdr:to>
    <xdr:pic>
      <xdr:nvPicPr>
        <xdr:cNvPr id="1" name="/xl/media/image12.png"/>
        <xdr:cNvPicPr>
          <a:picLocks xmlns:a="http://schemas.openxmlformats.org/drawingml/2006/main" noChangeAspect="1"/>
        </xdr:cNvPicPr>
      </xdr:nvPicPr>
      <xdr:blipFill>
        <a:blip xmlns:r="http://schemas.openxmlformats.org/officeDocument/2006/relationships" xmlns:a="http://schemas.openxmlformats.org/drawingml/2006/main" r:embed="Rfb6767c27ee14efa"/>
        <a:stretch xmlns:a="http://schemas.openxmlformats.org/drawingml/2006/main">
          <a:fillRect/>
        </a:stretch>
      </xdr:blipFill>
      <xdr:spPr>
        <a:prstGeom xmlns:a="http://schemas.openxmlformats.org/drawingml/2006/main" prst="rect"/>
      </xdr:spPr>
    </xdr:pic>
    <xdr:clientData/>
  </xdr:twoCellAnchor>
</xdr:wsDr>
</file>

<file path=xl/drawings/drawing17.xml><?xml version="1.0" encoding="utf-8"?>
<xdr:wsDr xmlns:xdr="http://schemas.openxmlformats.org/drawingml/2006/spreadsheetDrawing">
  <xdr:twoCellAnchor>
    <xdr:from>
      <xdr:col>2</xdr:col>
      <xdr:colOff>0</xdr:colOff>
      <xdr:row>48</xdr:row>
      <xdr:rowOff>0</xdr:rowOff>
    </xdr:from>
    <xdr:to>
      <xdr:col>6</xdr:col>
      <xdr:colOff>795294</xdr:colOff>
      <xdr:row>76</xdr:row>
      <xdr:rowOff>111882</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2659b0246c540f6"/>
        </a:graphicData>
      </a:graphic>
    </xdr:graphicFrame>
    <xdr:clientData/>
  </xdr:twoCellAnchor>
  <xdr:twoCellAnchor>
    <xdr:from>
      <xdr:col>8</xdr:col>
      <xdr:colOff>759944</xdr:colOff>
      <xdr:row>48</xdr:row>
      <xdr:rowOff>1</xdr:rowOff>
    </xdr:from>
    <xdr:to>
      <xdr:col>13</xdr:col>
      <xdr:colOff>582023</xdr:colOff>
      <xdr:row>76</xdr:row>
      <xdr:rowOff>128816</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554e22c86e44924"/>
        </a:graphicData>
      </a:graphic>
    </xdr:graphicFrame>
    <xdr:clientData/>
  </xdr:twoCellAnchor>
  <xdr:twoCellAnchor editAs="oneCell">
    <xdr:from>
      <xdr:col>19</xdr:col>
      <xdr:colOff>216000</xdr:colOff>
      <xdr:row>0</xdr:row>
      <xdr:rowOff>114480</xdr:rowOff>
    </xdr:from>
    <xdr:to>
      <xdr:col>19</xdr:col>
      <xdr:colOff>1538522</xdr:colOff>
      <xdr:row>7</xdr:row>
      <xdr:rowOff>74160</xdr:rowOff>
    </xdr:to>
    <xdr:pic>
      <xdr:nvPicPr>
        <xdr:cNvPr id="3" name="/xl/media/image12.png"/>
        <xdr:cNvPicPr>
          <a:picLocks xmlns:a="http://schemas.openxmlformats.org/drawingml/2006/main" noChangeAspect="1"/>
        </xdr:cNvPicPr>
      </xdr:nvPicPr>
      <xdr:blipFill>
        <a:blip xmlns:r="http://schemas.openxmlformats.org/officeDocument/2006/relationships" xmlns:a="http://schemas.openxmlformats.org/drawingml/2006/main" r:embed="Rda94430a86df4f67"/>
        <a:stretch xmlns:a="http://schemas.openxmlformats.org/drawingml/2006/main">
          <a:fillRect/>
        </a:stretch>
      </xdr:blipFill>
      <xdr:spPr>
        <a:prstGeom xmlns:a="http://schemas.openxmlformats.org/drawingml/2006/main" prst="rect"/>
      </xdr:spPr>
    </xdr:pic>
    <xdr:clientData/>
  </xdr:twoCellAnchor>
</xdr:wsDr>
</file>

<file path=xl/drawings/drawing18.xml><?xml version="1.0" encoding="utf-8"?>
<xdr:wsDr xmlns:xdr="http://schemas.openxmlformats.org/drawingml/2006/spreadsheetDrawing">
  <xdr:twoCellAnchor editAs="oneCell">
    <xdr:from>
      <xdr:col>24</xdr:col>
      <xdr:colOff>88920</xdr:colOff>
      <xdr:row>0</xdr:row>
      <xdr:rowOff>0</xdr:rowOff>
    </xdr:from>
    <xdr:to>
      <xdr:col>25</xdr:col>
      <xdr:colOff>785160</xdr:colOff>
      <xdr:row>6</xdr:row>
      <xdr:rowOff>163080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94d20828102941d3"/>
        <a:stretch xmlns:a="http://schemas.openxmlformats.org/drawingml/2006/main">
          <a:fillRect/>
        </a:stretch>
      </xdr:blipFill>
      <xdr:spPr>
        <a:prstGeom xmlns:a="http://schemas.openxmlformats.org/drawingml/2006/main" prst="rect"/>
      </xdr:spPr>
    </xdr:pic>
    <xdr:clientData/>
  </xdr:twoCellAnchor>
</xdr:wsDr>
</file>

<file path=xl/drawings/drawing19.xml><?xml version="1.0" encoding="utf-8"?>
<xdr:wsDr xmlns:xdr="http://schemas.openxmlformats.org/drawingml/2006/spreadsheetDrawing">
  <xdr:twoCellAnchor editAs="oneCell">
    <xdr:from>
      <xdr:col>24</xdr:col>
      <xdr:colOff>25560</xdr:colOff>
      <xdr:row>0</xdr:row>
      <xdr:rowOff>0</xdr:rowOff>
    </xdr:from>
    <xdr:to>
      <xdr:col>25</xdr:col>
      <xdr:colOff>721799</xdr:colOff>
      <xdr:row>6</xdr:row>
      <xdr:rowOff>163080</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310ad8f0f87b4f08"/>
        <a:stretch xmlns:a="http://schemas.openxmlformats.org/drawingml/2006/main">
          <a:fillRect/>
        </a:stretch>
      </xdr:blipFill>
      <xdr:spPr>
        <a:prstGeom xmlns:a="http://schemas.openxmlformats.org/drawingml/2006/main" prst="rect"/>
      </xdr:spPr>
    </xdr:pic>
    <xdr:clientData/>
  </xdr:twoCellAnchor>
</xdr:wsDr>
</file>

<file path=xl/drawings/drawing2.xml><?xml version="1.0" encoding="utf-8"?>
<xdr:wsDr xmlns:xdr="http://schemas.openxmlformats.org/drawingml/2006/spreadsheetDrawing">
  <xdr:twoCellAnchor editAs="oneCell">
    <xdr:from>
      <xdr:col>20</xdr:col>
      <xdr:colOff>76320</xdr:colOff>
      <xdr:row>0</xdr:row>
      <xdr:rowOff>0</xdr:rowOff>
    </xdr:from>
    <xdr:to>
      <xdr:col>21</xdr:col>
      <xdr:colOff>772560</xdr:colOff>
      <xdr:row>6</xdr:row>
      <xdr:rowOff>163080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69e7ab245fd3421b"/>
        <a:stretch xmlns:a="http://schemas.openxmlformats.org/drawingml/2006/main">
          <a:fillRect/>
        </a:stretch>
      </xdr:blipFill>
      <xdr:spPr>
        <a:prstGeom xmlns:a="http://schemas.openxmlformats.org/drawingml/2006/main" prst="rect"/>
      </xdr:spPr>
    </xdr:pic>
    <xdr:clientData/>
  </xdr:twoCellAnchor>
</xdr:wsDr>
</file>

<file path=xl/drawings/drawing20.xml><?xml version="1.0" encoding="utf-8"?>
<xdr:wsDr xmlns:xdr="http://schemas.openxmlformats.org/drawingml/2006/spreadsheetDrawing">
  <xdr:twoCellAnchor editAs="oneCell">
    <xdr:from>
      <xdr:col>24</xdr:col>
      <xdr:colOff>25560</xdr:colOff>
      <xdr:row>0</xdr:row>
      <xdr:rowOff>0</xdr:rowOff>
    </xdr:from>
    <xdr:to>
      <xdr:col>25</xdr:col>
      <xdr:colOff>721800</xdr:colOff>
      <xdr:row>6</xdr:row>
      <xdr:rowOff>163080</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5bc41286b96f40e9"/>
        <a:stretch xmlns:a="http://schemas.openxmlformats.org/drawingml/2006/main">
          <a:fillRect/>
        </a:stretch>
      </xdr:blipFill>
      <xdr:spPr>
        <a:prstGeom xmlns:a="http://schemas.openxmlformats.org/drawingml/2006/main" prst="rect"/>
      </xdr:spPr>
    </xdr:pic>
    <xdr:clientData/>
  </xdr:twoCellAnchor>
</xdr:wsDr>
</file>

<file path=xl/drawings/drawing21.xml><?xml version="1.0" encoding="utf-8"?>
<xdr:wsDr xmlns:xdr="http://schemas.openxmlformats.org/drawingml/2006/spreadsheetDrawing">
  <xdr:oneCellAnchor>
    <xdr:from>
      <xdr:col>24</xdr:col>
      <xdr:colOff>114480</xdr:colOff>
      <xdr:row>0</xdr:row>
      <xdr:rowOff>0</xdr:rowOff>
    </xdr:from>
    <xdr:ext cx="1688885" cy="980551"/>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11b87b3cfab24c9d"/>
        <a:stretch xmlns:a="http://schemas.openxmlformats.org/drawingml/2006/main">
          <a:fillRect/>
        </a:stretch>
      </xdr:blipFill>
      <xdr:spPr>
        <a:prstGeom xmlns:a="http://schemas.openxmlformats.org/drawingml/2006/main" prst="rect"/>
      </xdr:spPr>
    </xdr:pic>
    <xdr:clientData/>
  </xdr:oneCellAnchor>
</xdr:wsDr>
</file>

<file path=xl/drawings/drawing22.xml><?xml version="1.0" encoding="utf-8"?>
<xdr:wsDr xmlns:xdr="http://schemas.openxmlformats.org/drawingml/2006/spreadsheetDrawing">
  <xdr:twoCellAnchor editAs="oneCell">
    <xdr:from>
      <xdr:col>20</xdr:col>
      <xdr:colOff>127080</xdr:colOff>
      <xdr:row>0</xdr:row>
      <xdr:rowOff>0</xdr:rowOff>
    </xdr:from>
    <xdr:to>
      <xdr:col>21</xdr:col>
      <xdr:colOff>821520</xdr:colOff>
      <xdr:row>6</xdr:row>
      <xdr:rowOff>163080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608df7c30eb044d6"/>
        <a:stretch xmlns:a="http://schemas.openxmlformats.org/drawingml/2006/main">
          <a:fillRect/>
        </a:stretch>
      </xdr:blipFill>
      <xdr:spPr>
        <a:prstGeom xmlns:a="http://schemas.openxmlformats.org/drawingml/2006/main" prst="rect"/>
      </xdr:spPr>
    </xdr:pic>
    <xdr:clientData/>
  </xdr:twoCellAnchor>
</xdr:wsDr>
</file>

<file path=xl/drawings/drawing23.xml><?xml version="1.0" encoding="utf-8"?>
<xdr:wsDr xmlns:xdr="http://schemas.openxmlformats.org/drawingml/2006/spreadsheetDrawing">
  <xdr:twoCellAnchor>
    <xdr:from>
      <xdr:col>0</xdr:col>
      <xdr:colOff>205920</xdr:colOff>
      <xdr:row>6</xdr:row>
      <xdr:rowOff>10080</xdr:rowOff>
    </xdr:from>
    <xdr:to>
      <xdr:col>6</xdr:col>
      <xdr:colOff>101160</xdr:colOff>
      <xdr:row>21</xdr:row>
      <xdr:rowOff>2373</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b1c856f77b442a3"/>
        </a:graphicData>
      </a:graphic>
    </xdr:graphicFrame>
    <xdr:clientData/>
  </xdr:twoCellAnchor>
  <xdr:twoCellAnchor>
    <xdr:from>
      <xdr:col>6</xdr:col>
      <xdr:colOff>170280</xdr:colOff>
      <xdr:row>6</xdr:row>
      <xdr:rowOff>26280</xdr:rowOff>
    </xdr:from>
    <xdr:to>
      <xdr:col>11</xdr:col>
      <xdr:colOff>505080</xdr:colOff>
      <xdr:row>20</xdr:row>
      <xdr:rowOff>172440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c5ac8f9b07f4bf2"/>
        </a:graphicData>
      </a:graphic>
    </xdr:graphicFrame>
    <xdr:clientData/>
  </xdr:twoCellAnchor>
  <xdr:twoCellAnchor>
    <xdr:from>
      <xdr:col>11</xdr:col>
      <xdr:colOff>633600</xdr:colOff>
      <xdr:row>6</xdr:row>
      <xdr:rowOff>62640</xdr:rowOff>
    </xdr:from>
    <xdr:to>
      <xdr:col>18</xdr:col>
      <xdr:colOff>364</xdr:colOff>
      <xdr:row>21</xdr:row>
      <xdr:rowOff>1811</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2a66eeecd094806"/>
        </a:graphicData>
      </a:graphic>
    </xdr:graphicFrame>
    <xdr:clientData/>
  </xdr:twoCellAnchor>
  <xdr:twoCellAnchor>
    <xdr:from>
      <xdr:col>0</xdr:col>
      <xdr:colOff>371338</xdr:colOff>
      <xdr:row>23</xdr:row>
      <xdr:rowOff>64053</xdr:rowOff>
    </xdr:from>
    <xdr:to>
      <xdr:col>5</xdr:col>
      <xdr:colOff>496957</xdr:colOff>
      <xdr:row>37</xdr:row>
      <xdr:rowOff>101601</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5181ccccbd74407"/>
        </a:graphicData>
      </a:graphic>
    </xdr:graphicFrame>
    <xdr:clientData/>
  </xdr:twoCellAnchor>
  <xdr:twoCellAnchor>
    <xdr:from>
      <xdr:col>6</xdr:col>
      <xdr:colOff>129761</xdr:colOff>
      <xdr:row>23</xdr:row>
      <xdr:rowOff>77856</xdr:rowOff>
    </xdr:from>
    <xdr:to>
      <xdr:col>11</xdr:col>
      <xdr:colOff>463826</xdr:colOff>
      <xdr:row>37</xdr:row>
      <xdr:rowOff>115404</xdr:rowOff>
    </xdr:to>
    <xdr:graphicFrame macro="">
      <xdr:nvGraphicFramePr>
        <xdr:cNvPr id="5"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65025779b8f4251"/>
        </a:graphicData>
      </a:graphic>
    </xdr:graphicFrame>
    <xdr:clientData/>
  </xdr:twoCellAnchor>
  <xdr:twoCellAnchor>
    <xdr:from>
      <xdr:col>12</xdr:col>
      <xdr:colOff>101600</xdr:colOff>
      <xdr:row>23</xdr:row>
      <xdr:rowOff>67733</xdr:rowOff>
    </xdr:from>
    <xdr:to>
      <xdr:col>17</xdr:col>
      <xdr:colOff>694266</xdr:colOff>
      <xdr:row>38</xdr:row>
      <xdr:rowOff>0</xdr:rowOff>
    </xdr:to>
    <xdr:graphicFrame macro="">
      <xdr:nvGraphicFramePr>
        <xdr:cNvPr id="6"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6026cbbf9274237"/>
        </a:graphicData>
      </a:graphic>
    </xdr:graphicFrame>
    <xdr:clientData/>
  </xdr:twoCellAnchor>
  <xdr:twoCellAnchor>
    <xdr:from>
      <xdr:col>0</xdr:col>
      <xdr:colOff>321732</xdr:colOff>
      <xdr:row>38</xdr:row>
      <xdr:rowOff>64911</xdr:rowOff>
    </xdr:from>
    <xdr:to>
      <xdr:col>5</xdr:col>
      <xdr:colOff>423333</xdr:colOff>
      <xdr:row>51</xdr:row>
      <xdr:rowOff>176389</xdr:rowOff>
    </xdr:to>
    <xdr:graphicFrame macro="">
      <xdr:nvGraphicFramePr>
        <xdr:cNvPr id="7"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1461cb5d72a471f"/>
        </a:graphicData>
      </a:graphic>
    </xdr:graphicFrame>
    <xdr:clientData/>
  </xdr:twoCellAnchor>
  <xdr:twoCellAnchor>
    <xdr:from>
      <xdr:col>6</xdr:col>
      <xdr:colOff>20320</xdr:colOff>
      <xdr:row>38</xdr:row>
      <xdr:rowOff>187960</xdr:rowOff>
    </xdr:from>
    <xdr:to>
      <xdr:col>11</xdr:col>
      <xdr:colOff>386080</xdr:colOff>
      <xdr:row>53</xdr:row>
      <xdr:rowOff>25400</xdr:rowOff>
    </xdr:to>
    <xdr:graphicFrame macro="">
      <xdr:nvGraphicFramePr>
        <xdr:cNvPr id="8"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e2f0757a1e348fa"/>
        </a:graphicData>
      </a:graphic>
    </xdr:graphicFrame>
    <xdr:clientData/>
  </xdr:twoCellAnchor>
  <xdr:twoCellAnchor editAs="oneCell">
    <xdr:from>
      <xdr:col>19</xdr:col>
      <xdr:colOff>139680</xdr:colOff>
      <xdr:row>0</xdr:row>
      <xdr:rowOff>0</xdr:rowOff>
    </xdr:from>
    <xdr:to>
      <xdr:col>21</xdr:col>
      <xdr:colOff>10440</xdr:colOff>
      <xdr:row>6</xdr:row>
      <xdr:rowOff>163080</xdr:rowOff>
    </xdr:to>
    <xdr:pic>
      <xdr:nvPicPr>
        <xdr:cNvPr id="9" name="/xl/media/image13.png"/>
        <xdr:cNvPicPr>
          <a:picLocks xmlns:a="http://schemas.openxmlformats.org/drawingml/2006/main" noChangeAspect="1"/>
        </xdr:cNvPicPr>
      </xdr:nvPicPr>
      <xdr:blipFill>
        <a:blip xmlns:r="http://schemas.openxmlformats.org/officeDocument/2006/relationships" xmlns:a="http://schemas.openxmlformats.org/drawingml/2006/main" r:embed="R09ad44e96e3f4830"/>
        <a:stretch xmlns:a="http://schemas.openxmlformats.org/drawingml/2006/main">
          <a:fillRect/>
        </a:stretch>
      </xdr:blipFill>
      <xdr:spPr>
        <a:prstGeom xmlns:a="http://schemas.openxmlformats.org/drawingml/2006/main" prst="rect"/>
      </xdr:spPr>
    </xdr:pic>
    <xdr:clientData/>
  </xdr:twoCellAnchor>
</xdr:wsDr>
</file>

<file path=xl/drawings/drawing3.xml><?xml version="1.0" encoding="utf-8"?>
<xdr:wsDr xmlns:xdr="http://schemas.openxmlformats.org/drawingml/2006/spreadsheetDrawing">
  <xdr:twoCellAnchor editAs="oneCell">
    <xdr:from>
      <xdr:col>20</xdr:col>
      <xdr:colOff>62640</xdr:colOff>
      <xdr:row>0</xdr:row>
      <xdr:rowOff>0</xdr:rowOff>
    </xdr:from>
    <xdr:to>
      <xdr:col>21</xdr:col>
      <xdr:colOff>753480</xdr:colOff>
      <xdr:row>6</xdr:row>
      <xdr:rowOff>171000</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3bcbc6fdb6aa4f7c"/>
        <a:stretch xmlns:a="http://schemas.openxmlformats.org/drawingml/2006/main">
          <a:fillRect/>
        </a:stretch>
      </xdr:blipFill>
      <xdr:spPr>
        <a:prstGeom xmlns:a="http://schemas.openxmlformats.org/drawingml/2006/main" prst="rect"/>
      </xdr:spPr>
    </xdr:pic>
    <xdr:clientData/>
  </xdr:twoCellAnchor>
</xdr:wsDr>
</file>

<file path=xl/drawings/drawing4.xml><?xml version="1.0" encoding="utf-8"?>
<xdr:wsDr xmlns:xdr="http://schemas.openxmlformats.org/drawingml/2006/spreadsheetDrawing">
  <xdr:twoCellAnchor editAs="oneCell">
    <xdr:from>
      <xdr:col>19</xdr:col>
      <xdr:colOff>154080</xdr:colOff>
      <xdr:row>0</xdr:row>
      <xdr:rowOff>0</xdr:rowOff>
    </xdr:from>
    <xdr:to>
      <xdr:col>20</xdr:col>
      <xdr:colOff>855000</xdr:colOff>
      <xdr:row>6</xdr:row>
      <xdr:rowOff>153720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9516896638c44811"/>
        <a:stretch xmlns:a="http://schemas.openxmlformats.org/drawingml/2006/main">
          <a:fillRect/>
        </a:stretch>
      </xdr:blipFill>
      <xdr:spPr>
        <a:prstGeom xmlns:a="http://schemas.openxmlformats.org/drawingml/2006/main" prst="rect"/>
      </xdr:spPr>
    </xdr:pic>
    <xdr:clientData/>
  </xdr:twoCellAnchor>
</xdr:wsDr>
</file>

<file path=xl/drawings/drawing5.xml><?xml version="1.0" encoding="utf-8"?>
<xdr:wsDr xmlns:xdr="http://schemas.openxmlformats.org/drawingml/2006/spreadsheetDrawing">
  <xdr:twoCellAnchor editAs="oneCell">
    <xdr:from>
      <xdr:col>19</xdr:col>
      <xdr:colOff>114480</xdr:colOff>
      <xdr:row>0</xdr:row>
      <xdr:rowOff>0</xdr:rowOff>
    </xdr:from>
    <xdr:to>
      <xdr:col>20</xdr:col>
      <xdr:colOff>810720</xdr:colOff>
      <xdr:row>6</xdr:row>
      <xdr:rowOff>163080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918fad51fbb848af"/>
        <a:stretch xmlns:a="http://schemas.openxmlformats.org/drawingml/2006/main">
          <a:fillRect/>
        </a:stretch>
      </xdr:blipFill>
      <xdr:spPr>
        <a:prstGeom xmlns:a="http://schemas.openxmlformats.org/drawingml/2006/main" prst="rect"/>
      </xdr:spPr>
    </xdr:pic>
    <xdr:clientData/>
  </xdr:twoCellAnchor>
</xdr:wsDr>
</file>

<file path=xl/drawings/drawing6.xml><?xml version="1.0" encoding="utf-8"?>
<xdr:wsDr xmlns:xdr="http://schemas.openxmlformats.org/drawingml/2006/spreadsheetDrawing">
  <xdr:twoCellAnchor editAs="oneCell">
    <xdr:from>
      <xdr:col>20</xdr:col>
      <xdr:colOff>96480</xdr:colOff>
      <xdr:row>0</xdr:row>
      <xdr:rowOff>0</xdr:rowOff>
    </xdr:from>
    <xdr:to>
      <xdr:col>21</xdr:col>
      <xdr:colOff>817560</xdr:colOff>
      <xdr:row>7</xdr:row>
      <xdr:rowOff>29160</xdr:rowOff>
    </xdr:to>
    <xdr:pic>
      <xdr:nvPicPr>
        <xdr:cNvPr id="1" name="/xl/media/image3.png"/>
        <xdr:cNvPicPr>
          <a:picLocks xmlns:a="http://schemas.openxmlformats.org/drawingml/2006/main" noChangeAspect="1"/>
        </xdr:cNvPicPr>
      </xdr:nvPicPr>
      <xdr:blipFill>
        <a:blip xmlns:r="http://schemas.openxmlformats.org/officeDocument/2006/relationships" xmlns:a="http://schemas.openxmlformats.org/drawingml/2006/main" r:embed="R2e6571a79b174b53"/>
        <a:stretch xmlns:a="http://schemas.openxmlformats.org/drawingml/2006/main">
          <a:fillRect/>
        </a:stretch>
      </xdr:blipFill>
      <xdr:spPr>
        <a:prstGeom xmlns:a="http://schemas.openxmlformats.org/drawingml/2006/main" prst="rect"/>
      </xdr:spPr>
    </xdr:pic>
    <xdr:clientData/>
  </xdr:twoCellAnchor>
</xdr:wsDr>
</file>

<file path=xl/drawings/drawing7.xml><?xml version="1.0" encoding="utf-8"?>
<xdr:wsDr xmlns:xdr="http://schemas.openxmlformats.org/drawingml/2006/spreadsheetDrawing">
  <xdr:twoCellAnchor editAs="oneCell">
    <xdr:from>
      <xdr:col>20</xdr:col>
      <xdr:colOff>62640</xdr:colOff>
      <xdr:row>0</xdr:row>
      <xdr:rowOff>0</xdr:rowOff>
    </xdr:from>
    <xdr:to>
      <xdr:col>21</xdr:col>
      <xdr:colOff>753480</xdr:colOff>
      <xdr:row>6</xdr:row>
      <xdr:rowOff>155160</xdr:rowOff>
    </xdr:to>
    <xdr:pic>
      <xdr:nvPicPr>
        <xdr:cNvPr id="1" name="/xl/media/image4.png"/>
        <xdr:cNvPicPr>
          <a:picLocks xmlns:a="http://schemas.openxmlformats.org/drawingml/2006/main" noChangeAspect="1"/>
        </xdr:cNvPicPr>
      </xdr:nvPicPr>
      <xdr:blipFill>
        <a:blip xmlns:r="http://schemas.openxmlformats.org/officeDocument/2006/relationships" xmlns:a="http://schemas.openxmlformats.org/drawingml/2006/main" r:embed="R82f2fda63ad54d33"/>
        <a:stretch xmlns:a="http://schemas.openxmlformats.org/drawingml/2006/main">
          <a:fillRect/>
        </a:stretch>
      </xdr:blipFill>
      <xdr:spPr>
        <a:prstGeom xmlns:a="http://schemas.openxmlformats.org/drawingml/2006/main" prst="rect"/>
      </xdr:spPr>
    </xdr:pic>
    <xdr:clientData/>
  </xdr:twoCellAnchor>
</xdr:wsDr>
</file>

<file path=xl/drawings/drawing8.xml><?xml version="1.0" encoding="utf-8"?>
<xdr:wsDr xmlns:xdr="http://schemas.openxmlformats.org/drawingml/2006/spreadsheetDrawing">
  <xdr:twoCellAnchor editAs="oneCell">
    <xdr:from>
      <xdr:col>19</xdr:col>
      <xdr:colOff>102600</xdr:colOff>
      <xdr:row>0</xdr:row>
      <xdr:rowOff>12960</xdr:rowOff>
    </xdr:from>
    <xdr:to>
      <xdr:col>20</xdr:col>
      <xdr:colOff>803520</xdr:colOff>
      <xdr:row>6</xdr:row>
      <xdr:rowOff>166680</xdr:rowOff>
    </xdr:to>
    <xdr:pic>
      <xdr:nvPicPr>
        <xdr:cNvPr id="1" name="/xl/media/image5.png"/>
        <xdr:cNvPicPr>
          <a:picLocks xmlns:a="http://schemas.openxmlformats.org/drawingml/2006/main" noChangeAspect="1"/>
        </xdr:cNvPicPr>
      </xdr:nvPicPr>
      <xdr:blipFill>
        <a:blip xmlns:r="http://schemas.openxmlformats.org/officeDocument/2006/relationships" xmlns:a="http://schemas.openxmlformats.org/drawingml/2006/main" r:embed="Re654c22f79b54ea9"/>
        <a:stretch xmlns:a="http://schemas.openxmlformats.org/drawingml/2006/main">
          <a:fillRect/>
        </a:stretch>
      </xdr:blipFill>
      <xdr:spPr>
        <a:prstGeom xmlns:a="http://schemas.openxmlformats.org/drawingml/2006/main" prst="rect"/>
      </xdr:spPr>
    </xdr:pic>
    <xdr:clientData/>
  </xdr:twoCellAnchor>
</xdr:wsDr>
</file>

<file path=xl/drawings/drawing9.xml><?xml version="1.0" encoding="utf-8"?>
<xdr:wsDr xmlns:xdr="http://schemas.openxmlformats.org/drawingml/2006/spreadsheetDrawing">
  <xdr:twoCellAnchor editAs="oneCell">
    <xdr:from>
      <xdr:col>19</xdr:col>
      <xdr:colOff>102600</xdr:colOff>
      <xdr:row>0</xdr:row>
      <xdr:rowOff>12960</xdr:rowOff>
    </xdr:from>
    <xdr:to>
      <xdr:col>20</xdr:col>
      <xdr:colOff>803520</xdr:colOff>
      <xdr:row>6</xdr:row>
      <xdr:rowOff>166680</xdr:rowOff>
    </xdr:to>
    <xdr:pic>
      <xdr:nvPicPr>
        <xdr:cNvPr id="1" name="/xl/media/image6.png"/>
        <xdr:cNvPicPr>
          <a:picLocks xmlns:a="http://schemas.openxmlformats.org/drawingml/2006/main" noChangeAspect="1"/>
        </xdr:cNvPicPr>
      </xdr:nvPicPr>
      <xdr:blipFill>
        <a:blip xmlns:r="http://schemas.openxmlformats.org/officeDocument/2006/relationships" xmlns:a="http://schemas.openxmlformats.org/drawingml/2006/main" r:embed="Rd289c28a02154c10"/>
        <a:stretch xmlns:a="http://schemas.openxmlformats.org/drawingml/2006/main">
          <a:fillRect/>
        </a:stretch>
      </xdr:blipFill>
      <xdr:spPr>
        <a:prstGeom xmlns:a="http://schemas.openxmlformats.org/drawingml/2006/main" prst="rec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theme>
</file>

<file path=xl/worksheets/_rels/sheet10.xml.rels><?xml version='1.0' encoding='utf-8'?>
<Relationships xmlns="http://schemas.openxmlformats.org/package/2006/relationships"><Relationship Type="http://schemas.openxmlformats.org/officeDocument/2006/relationships/drawing" Target="/xl/drawings/drawing9.xml" Id="R597ff25bdc2f4100" /></Relationships>
</file>

<file path=xl/worksheets/_rels/sheet11.xml.rels><?xml version='1.0' encoding='utf-8'?>
<Relationships xmlns="http://schemas.openxmlformats.org/package/2006/relationships"><Relationship Type="http://schemas.openxmlformats.org/officeDocument/2006/relationships/drawing" Target="/xl/drawings/drawing10.xml" Id="R8741ffaca16b4a65" /></Relationships>
</file>

<file path=xl/worksheets/_rels/sheet12.xml.rels><?xml version='1.0' encoding='utf-8'?>
<Relationships xmlns="http://schemas.openxmlformats.org/package/2006/relationships"><Relationship Type="http://schemas.openxmlformats.org/officeDocument/2006/relationships/drawing" Target="/xl/drawings/drawing11.xml" Id="R49f3803a52f4480b" /></Relationships>
</file>

<file path=xl/worksheets/_rels/sheet13.xml.rels><?xml version='1.0' encoding='utf-8'?>
<Relationships xmlns="http://schemas.openxmlformats.org/package/2006/relationships"><Relationship Type="http://schemas.openxmlformats.org/officeDocument/2006/relationships/drawing" Target="/xl/drawings/drawing12.xml" Id="R129b45aabfd74374" /></Relationships>
</file>

<file path=xl/worksheets/_rels/sheet14.xml.rels><?xml version='1.0' encoding='utf-8'?>
<Relationships xmlns="http://schemas.openxmlformats.org/package/2006/relationships"><Relationship Type="http://schemas.openxmlformats.org/officeDocument/2006/relationships/drawing" Target="/xl/drawings/drawing13.xml" Id="R62f0f4b1743142e5" /></Relationships>
</file>

<file path=xl/worksheets/_rels/sheet15.xml.rels><?xml version='1.0' encoding='utf-8'?>
<Relationships xmlns="http://schemas.openxmlformats.org/package/2006/relationships"><Relationship Type="http://schemas.openxmlformats.org/officeDocument/2006/relationships/drawing" Target="/xl/drawings/drawing14.xml" Id="R4478ddb61bdd4fd8" /></Relationships>
</file>

<file path=xl/worksheets/_rels/sheet16.xml.rels><?xml version='1.0' encoding='utf-8'?>
<Relationships xmlns="http://schemas.openxmlformats.org/package/2006/relationships"><Relationship Type="http://schemas.openxmlformats.org/officeDocument/2006/relationships/drawing" Target="/xl/drawings/drawing15.xml" Id="R9e985e3db4e2496b" /></Relationships>
</file>

<file path=xl/worksheets/_rels/sheet17.xml.rels><?xml version='1.0' encoding='utf-8'?>
<Relationships xmlns="http://schemas.openxmlformats.org/package/2006/relationships"><Relationship Type="http://schemas.openxmlformats.org/officeDocument/2006/relationships/drawing" Target="/xl/drawings/drawing16.xml" Id="Ra63149ddbb8d45a7" /></Relationships>
</file>

<file path=xl/worksheets/_rels/sheet18.xml.rels><?xml version='1.0' encoding='utf-8'?>
<Relationships xmlns="http://schemas.openxmlformats.org/package/2006/relationships"><Relationship Type="http://schemas.openxmlformats.org/officeDocument/2006/relationships/drawing" Target="/xl/drawings/drawing17.xml" Id="R068207f227e0401c" /></Relationships>
</file>

<file path=xl/worksheets/_rels/sheet19.xml.rels><?xml version='1.0' encoding='utf-8'?>
<Relationships xmlns="http://schemas.openxmlformats.org/package/2006/relationships"><Relationship Type="http://schemas.openxmlformats.org/officeDocument/2006/relationships/drawing" Target="/xl/drawings/drawing18.xml" Id="R7a1a6dcb77874ecc" /></Relationships>
</file>

<file path=xl/worksheets/_rels/sheet2.xml.rels><?xml version='1.0' encoding='utf-8'?>
<Relationships xmlns="http://schemas.openxmlformats.org/package/2006/relationships"><Relationship Type="http://schemas.openxmlformats.org/officeDocument/2006/relationships/drawing" Target="/xl/drawings/drawing1.xml" Id="R9cc91029b5bc4c80" /></Relationships>
</file>

<file path=xl/worksheets/_rels/sheet20.xml.rels><?xml version='1.0' encoding='utf-8'?>
<Relationships xmlns="http://schemas.openxmlformats.org/package/2006/relationships"><Relationship Type="http://schemas.openxmlformats.org/officeDocument/2006/relationships/drawing" Target="/xl/drawings/drawing19.xml" Id="Raef1ed25cf3f47e6" /></Relationships>
</file>

<file path=xl/worksheets/_rels/sheet21.xml.rels><?xml version='1.0' encoding='utf-8'?>
<Relationships xmlns="http://schemas.openxmlformats.org/package/2006/relationships"><Relationship Type="http://schemas.openxmlformats.org/officeDocument/2006/relationships/drawing" Target="/xl/drawings/drawing20.xml" Id="Rce3acab040cd4d2f" /></Relationships>
</file>

<file path=xl/worksheets/_rels/sheet22.xml.rels><?xml version='1.0' encoding='utf-8'?>
<Relationships xmlns="http://schemas.openxmlformats.org/package/2006/relationships"><Relationship Type="http://schemas.openxmlformats.org/officeDocument/2006/relationships/drawing" Target="/xl/drawings/drawing21.xml" Id="R336d2cbf78bd4e83" /></Relationships>
</file>

<file path=xl/worksheets/_rels/sheet23.xml.rels><?xml version='1.0' encoding='utf-8'?>
<Relationships xmlns="http://schemas.openxmlformats.org/package/2006/relationships"><Relationship Type="http://schemas.openxmlformats.org/officeDocument/2006/relationships/drawing" Target="/xl/drawings/drawing22.xml" Id="Rd79678f0be8b4eaa" /></Relationships>
</file>

<file path=xl/worksheets/_rels/sheet24.xml.rels><?xml version='1.0' encoding='utf-8'?>
<Relationships xmlns="http://schemas.openxmlformats.org/package/2006/relationships"><Relationship Type="http://schemas.openxmlformats.org/officeDocument/2006/relationships/drawing" Target="/xl/drawings/drawing23.xml" Id="R15eaa5a7af9549e3" /></Relationships>
</file>

<file path=xl/worksheets/_rels/sheet3.xml.rels><?xml version='1.0' encoding='utf-8'?>
<Relationships xmlns="http://schemas.openxmlformats.org/package/2006/relationships"><Relationship Type="http://schemas.openxmlformats.org/officeDocument/2006/relationships/drawing" Target="/xl/drawings/drawing2.xml" Id="Rc67fe8a41eb5401c" /></Relationships>
</file>

<file path=xl/worksheets/_rels/sheet4.xml.rels><?xml version='1.0' encoding='utf-8'?>
<Relationships xmlns="http://schemas.openxmlformats.org/package/2006/relationships"><Relationship Type="http://schemas.openxmlformats.org/officeDocument/2006/relationships/drawing" Target="/xl/drawings/drawing3.xml" Id="R2d4f0eb77f0d4a75" /></Relationships>
</file>

<file path=xl/worksheets/_rels/sheet5.xml.rels><?xml version='1.0' encoding='utf-8'?>
<Relationships xmlns="http://schemas.openxmlformats.org/package/2006/relationships"><Relationship Type="http://schemas.openxmlformats.org/officeDocument/2006/relationships/drawing" Target="/xl/drawings/drawing4.xml" Id="R937536b178564b45" /></Relationships>
</file>

<file path=xl/worksheets/_rels/sheet6.xml.rels><?xml version='1.0' encoding='utf-8'?>
<Relationships xmlns="http://schemas.openxmlformats.org/package/2006/relationships"><Relationship Type="http://schemas.openxmlformats.org/officeDocument/2006/relationships/drawing" Target="/xl/drawings/drawing5.xml" Id="Rcdf5fe74317c4b68" /></Relationships>
</file>

<file path=xl/worksheets/_rels/sheet7.xml.rels><?xml version='1.0' encoding='utf-8'?>
<Relationships xmlns="http://schemas.openxmlformats.org/package/2006/relationships"><Relationship Type="http://schemas.openxmlformats.org/officeDocument/2006/relationships/drawing" Target="/xl/drawings/drawing6.xml" Id="R85c78da4849b4272" /></Relationships>
</file>

<file path=xl/worksheets/_rels/sheet8.xml.rels><?xml version='1.0' encoding='utf-8'?>
<Relationships xmlns="http://schemas.openxmlformats.org/package/2006/relationships"><Relationship Type="http://schemas.openxmlformats.org/officeDocument/2006/relationships/drawing" Target="/xl/drawings/drawing7.xml" Id="R276bfd5973e1421b" /></Relationships>
</file>

<file path=xl/worksheets/_rels/sheet9.xml.rels><?xml version='1.0' encoding='utf-8'?>
<Relationships xmlns="http://schemas.openxmlformats.org/package/2006/relationships"><Relationship Type="http://schemas.openxmlformats.org/officeDocument/2006/relationships/drawing" Target="/xl/drawings/drawing8.xml" Id="Rcf3ae026ca404ae5" /></Relationships>
</file>

<file path=xl/worksheets/sheet1.xml><?xml version="1.0" encoding="utf-8"?>
<worksheet xmlns="http://schemas.openxmlformats.org/spreadsheetml/2006/main">
  <sheetPr>
    <tabColor rgb="FFFFD900"/>
  </sheetPr>
  <sheetFormatPr baseColWidth="10" defaultColWidth="10.83203125" defaultRowHeight="16"/>
  <cols>
    <col min="1" max="16384" width="10.83203125" style="2" customWidth="0"/>
  </cols>
  <sheetData>
    <row r="1" ht="15.75" customHeight="1">
      <c r="A1" s="307"/>
      <c r="B1" s="307"/>
      <c r="C1" s="307"/>
      <c r="D1" s="307"/>
      <c r="E1" s="307"/>
      <c r="F1" s="307"/>
      <c r="G1" s="307"/>
      <c r="H1" s="307"/>
      <c r="I1" s="307"/>
      <c r="J1" s="307"/>
      <c r="K1" s="307"/>
      <c r="L1" s="307"/>
      <c r="M1" s="307"/>
      <c r="N1" s="307"/>
      <c r="O1" s="307"/>
      <c r="P1" s="307"/>
      <c r="Q1" s="307"/>
      <c r="R1" s="307"/>
      <c r="S1" s="307"/>
      <c r="T1" s="307"/>
      <c r="U1" s="307"/>
    </row>
    <row r="2" ht="15.75" customHeight="1">
      <c r="A2" s="307"/>
      <c r="B2" s="307"/>
      <c r="C2" s="307"/>
      <c r="D2" s="307"/>
      <c r="E2" s="307"/>
      <c r="F2" s="307"/>
      <c r="G2" s="307"/>
      <c r="H2" s="307"/>
      <c r="I2" s="307"/>
      <c r="J2" s="307"/>
      <c r="K2" s="307"/>
      <c r="L2" s="307"/>
      <c r="M2" s="307"/>
      <c r="N2" s="307"/>
      <c r="O2" s="307"/>
      <c r="P2" s="307"/>
      <c r="Q2" s="307"/>
      <c r="R2" s="307"/>
      <c r="S2" s="307"/>
      <c r="T2" s="307"/>
      <c r="U2" s="307"/>
    </row>
    <row r="3" ht="15.75" customHeight="1">
      <c r="A3" s="307"/>
      <c r="B3" s="307"/>
      <c r="C3" s="307"/>
      <c r="D3" s="307"/>
      <c r="E3" s="307"/>
      <c r="F3" s="307"/>
      <c r="G3" s="307"/>
      <c r="H3" s="307"/>
      <c r="I3" s="307"/>
      <c r="J3" s="307"/>
      <c r="K3" s="307"/>
      <c r="L3" s="307"/>
      <c r="M3" s="307"/>
      <c r="N3" s="307"/>
      <c r="O3" s="307"/>
      <c r="P3" s="307"/>
      <c r="Q3" s="307"/>
      <c r="R3" s="307"/>
      <c r="S3" s="307"/>
      <c r="T3" s="307"/>
      <c r="U3" s="307"/>
    </row>
    <row r="4" ht="4.5" customHeight="1">
      <c r="A4" s="308"/>
      <c r="B4" s="308"/>
      <c r="C4" s="308"/>
      <c r="D4" s="308"/>
      <c r="E4" s="308"/>
      <c r="F4" s="308"/>
      <c r="G4" s="308"/>
      <c r="H4" s="294"/>
      <c r="I4" s="294"/>
      <c r="J4" s="294"/>
      <c r="K4" s="294"/>
      <c r="L4" s="294"/>
      <c r="M4" s="294"/>
      <c r="N4" s="294"/>
      <c r="O4" s="309"/>
      <c r="P4" s="309"/>
      <c r="Q4" s="309"/>
      <c r="R4" s="309"/>
      <c r="S4" s="309"/>
      <c r="T4" s="309"/>
      <c r="U4" s="309"/>
    </row>
    <row r="5" ht="15.75" customHeight="1">
      <c r="A5" s="3"/>
      <c r="U5" s="4"/>
    </row>
    <row r="6" ht="15.75" customHeight="1">
      <c r="A6" s="3"/>
      <c r="U6" s="4"/>
    </row>
    <row r="7" ht="15.75" customHeight="1">
      <c r="A7" s="3"/>
      <c r="U7" s="4"/>
    </row>
    <row r="8" ht="15.75" customHeight="1">
      <c r="A8" s="3"/>
      <c r="U8" s="4"/>
    </row>
    <row r="9" ht="15.75" customHeight="1">
      <c r="A9" s="3"/>
      <c r="U9" s="4"/>
    </row>
    <row r="10" ht="15.75" customHeight="1">
      <c r="A10" s="3"/>
      <c r="U10" s="4"/>
    </row>
    <row r="11" ht="15.75" customHeight="1">
      <c r="A11" s="3"/>
      <c r="U11" s="4"/>
    </row>
    <row r="12" ht="15.75" customHeight="1">
      <c r="A12" s="3"/>
      <c r="U12" s="4"/>
    </row>
    <row r="13" ht="15.75" customHeight="1">
      <c r="A13" s="3"/>
      <c r="U13" s="4"/>
    </row>
    <row r="14" ht="48.75" customHeight="1">
      <c r="A14" s="3"/>
      <c r="F14" s="310" t="s">
        <v>0</v>
      </c>
      <c r="G14" s="310"/>
      <c r="H14" s="310"/>
      <c r="I14" s="310"/>
      <c r="J14" s="310"/>
      <c r="K14" s="310"/>
      <c r="L14" s="310"/>
      <c r="M14" s="310"/>
      <c r="N14" s="310"/>
      <c r="O14" s="310"/>
      <c r="P14" s="310"/>
      <c r="U14" s="4"/>
    </row>
    <row r="15" ht="15.75" customHeight="1">
      <c r="A15" s="3"/>
      <c r="U15" s="4"/>
    </row>
    <row r="16" ht="18.75" customHeight="1">
      <c r="A16" s="3"/>
      <c r="F16" s="305" t="s">
        <v>1</v>
      </c>
      <c r="G16" s="305"/>
      <c r="H16" s="305"/>
      <c r="I16" s="305"/>
      <c r="J16" s="305"/>
      <c r="K16" s="305"/>
      <c r="L16" s="305"/>
      <c r="M16" s="305"/>
      <c r="N16" s="305"/>
      <c r="O16" s="305"/>
      <c r="P16" s="305"/>
      <c r="U16" s="4"/>
    </row>
    <row r="17" ht="15.75" customHeight="1">
      <c r="A17" s="3"/>
      <c r="U17" s="4"/>
    </row>
    <row r="18" ht="15.75" customHeight="1">
      <c r="A18" s="3"/>
      <c r="F18" s="306" t="s">
        <v>2</v>
      </c>
      <c r="G18" s="306"/>
      <c r="H18" s="306"/>
      <c r="I18" s="306"/>
      <c r="J18" s="306"/>
      <c r="K18" s="306"/>
      <c r="L18" s="306"/>
      <c r="M18" s="306"/>
      <c r="N18" s="306"/>
      <c r="O18" s="306"/>
      <c r="P18" s="306"/>
      <c r="U18" s="4"/>
    </row>
    <row r="19" ht="15.75" customHeight="1">
      <c r="A19" s="3"/>
      <c r="U19" s="4"/>
    </row>
    <row r="20" ht="15.75" customHeight="1">
      <c r="A20" s="3"/>
      <c r="U20" s="4"/>
    </row>
    <row r="21" ht="15.75" customHeight="1">
      <c r="A21" s="3"/>
      <c r="U21" s="4"/>
    </row>
    <row r="22" ht="15.75" customHeight="1">
      <c r="A22" s="3"/>
      <c r="U22" s="4"/>
    </row>
    <row r="23" ht="15.75" customHeight="1">
      <c r="A23" s="3"/>
      <c r="U23" s="4"/>
    </row>
    <row r="24" ht="15.75" customHeight="1">
      <c r="A24" s="3"/>
      <c r="U24" s="4"/>
    </row>
    <row r="25" ht="15.75" customHeight="1">
      <c r="A25" s="3"/>
      <c r="F25" s="5"/>
      <c r="G25" s="5"/>
      <c r="H25" s="5"/>
      <c r="I25" s="5"/>
      <c r="J25" s="5"/>
      <c r="K25" s="5"/>
      <c r="L25" s="5"/>
      <c r="M25" s="5"/>
      <c r="N25" s="5"/>
      <c r="O25" s="5"/>
      <c r="P25" s="5"/>
      <c r="U25" s="4"/>
    </row>
    <row r="26" ht="15.75" customHeight="1">
      <c r="A26" s="3"/>
      <c r="F26" s="6"/>
      <c r="G26" s="7"/>
      <c r="H26" s="6"/>
      <c r="I26" s="5"/>
      <c r="J26" s="5"/>
      <c r="K26" s="5"/>
      <c r="L26" s="5"/>
      <c r="M26" s="5"/>
      <c r="N26" s="5"/>
      <c r="O26" s="5"/>
      <c r="P26" s="5"/>
      <c r="U26" s="4"/>
    </row>
    <row r="27" ht="15.75" customHeight="1">
      <c r="A27" s="3"/>
      <c r="F27" s="5"/>
      <c r="G27" s="5"/>
      <c r="H27" s="5"/>
      <c r="I27" s="5"/>
      <c r="J27" s="400" t="str">
        <v>Public portfolio copy</v>
      </c>
      <c r="K27" s="400"/>
      <c r="L27" s="400"/>
      <c r="M27" s="5"/>
      <c r="N27" s="5"/>
      <c r="O27" s="5"/>
      <c r="P27" s="5"/>
      <c r="U27" s="4"/>
    </row>
    <row r="28" ht="15.75" customHeight="1">
      <c r="A28" s="3"/>
      <c r="F28" s="5"/>
      <c r="G28" s="5"/>
      <c r="H28" s="5"/>
      <c r="I28" s="5"/>
      <c r="J28" s="400"/>
      <c r="K28" s="400"/>
      <c r="L28" s="400"/>
      <c r="M28" s="5"/>
      <c r="N28" s="5"/>
      <c r="O28" s="5"/>
      <c r="P28" s="5"/>
      <c r="U28" s="4"/>
    </row>
    <row r="29" ht="15.75" customHeight="1">
      <c r="A29" s="3"/>
      <c r="F29" s="5"/>
      <c r="G29" s="5"/>
      <c r="H29" s="5"/>
      <c r="I29" s="5"/>
      <c r="J29" s="5"/>
      <c r="K29" s="5"/>
      <c r="L29" s="5"/>
      <c r="M29" s="5"/>
      <c r="N29" s="5"/>
      <c r="O29" s="5"/>
      <c r="P29" s="5"/>
      <c r="U29" s="4"/>
    </row>
    <row r="30" ht="15.75" customHeight="1">
      <c r="A30" s="3"/>
      <c r="F30" s="5"/>
      <c r="G30" s="5"/>
      <c r="H30" s="5"/>
      <c r="I30" s="5"/>
      <c r="J30" s="5"/>
      <c r="K30" s="5"/>
      <c r="L30" s="5"/>
      <c r="M30" s="5"/>
      <c r="N30" s="5"/>
      <c r="O30" s="5"/>
      <c r="P30" s="5"/>
      <c r="U30" s="4"/>
    </row>
    <row r="31" ht="15.75" customHeight="1">
      <c r="A31" s="3"/>
      <c r="U31" s="4"/>
    </row>
    <row r="32" ht="15.75" customHeight="1">
      <c r="A32" s="3"/>
      <c r="U32" s="4"/>
    </row>
    <row r="33" ht="15.75" customHeight="1">
      <c r="A33" s="3"/>
      <c r="U33" s="4"/>
    </row>
    <row r="34" ht="15.75" customHeight="1">
      <c r="A34" s="3"/>
      <c r="U34" s="4"/>
    </row>
    <row r="35" ht="15.75" customHeight="1">
      <c r="A35" s="3"/>
      <c r="U35" s="4"/>
    </row>
    <row r="36" ht="15.75" customHeight="1">
      <c r="A36" s="3"/>
      <c r="U36" s="4"/>
    </row>
    <row r="37" ht="15.75" customHeight="1">
      <c r="A37" s="3"/>
      <c r="U37" s="4"/>
    </row>
    <row r="38" ht="15.75" customHeight="1">
      <c r="A38" s="3"/>
      <c r="U38" s="4"/>
    </row>
    <row r="39" ht="15.75" customHeight="1">
      <c r="A39" s="3"/>
      <c r="U39" s="4"/>
    </row>
    <row r="40" ht="15.75" customHeight="1">
      <c r="A40" s="8"/>
      <c r="B40" s="9"/>
      <c r="C40" s="9"/>
      <c r="D40" s="9"/>
      <c r="E40" s="9"/>
      <c r="F40" s="9"/>
      <c r="G40" s="9"/>
      <c r="H40" s="9"/>
      <c r="I40" s="9"/>
      <c r="J40" s="9"/>
      <c r="K40" s="9"/>
      <c r="L40" s="9"/>
      <c r="M40" s="9"/>
      <c r="N40" s="9"/>
      <c r="O40" s="9"/>
      <c r="P40" s="9"/>
      <c r="Q40" s="9"/>
      <c r="R40" s="9"/>
      <c r="S40" s="9"/>
      <c r="T40" s="9"/>
      <c r="U40" s="10"/>
    </row>
  </sheetData>
  <mergeCells>
    <mergeCell ref="J27:L28"/>
    <mergeCell ref="F16:P16"/>
    <mergeCell ref="F18:P18"/>
    <mergeCell ref="A1:U3"/>
    <mergeCell ref="A4:G4"/>
    <mergeCell ref="H4:N4"/>
    <mergeCell ref="O4:U4"/>
    <mergeCell ref="F14:P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FormatPr baseColWidth="10" defaultColWidth="10.5" defaultRowHeight="16"/>
  <cols>
    <col min="1" max="1" width="10.83203125" style="11" customWidth="1"/>
    <col min="2" max="2" width="1.6640625" style="11" customWidth="1"/>
    <col min="3" max="5" width="10.83203125" style="11" customWidth="1"/>
    <col min="6" max="6" width="28.6640625" style="11" customWidth="1"/>
    <col min="7" max="20" width="10.83203125" style="11" customWidth="1"/>
    <col min="21" max="21" width="11" style="11" customWidth="1"/>
  </cols>
  <sheetData>
    <row r="1" ht="15.75" customHeight="1">
      <c r="A1" s="318" t="s">
        <v>227</v>
      </c>
      <c r="B1" s="318"/>
      <c r="C1" s="318"/>
      <c r="D1" s="318"/>
      <c r="E1" s="318"/>
      <c r="F1" s="318"/>
      <c r="G1" s="318"/>
      <c r="H1" s="318"/>
      <c r="I1" s="318"/>
      <c r="J1" s="318"/>
      <c r="K1" s="318"/>
      <c r="L1" s="318"/>
      <c r="M1" s="318"/>
      <c r="N1" s="318"/>
      <c r="O1" s="318"/>
      <c r="P1" s="318"/>
      <c r="Q1" s="318"/>
      <c r="R1" s="318"/>
      <c r="S1" s="318"/>
      <c r="T1" s="318"/>
      <c r="U1" s="318"/>
    </row>
    <row r="2" ht="15.75" customHeight="1">
      <c r="A2" s="318"/>
      <c r="B2" s="318"/>
      <c r="C2" s="318"/>
      <c r="D2" s="318"/>
      <c r="E2" s="318"/>
      <c r="F2" s="318"/>
      <c r="G2" s="318"/>
      <c r="H2" s="318"/>
      <c r="I2" s="318"/>
      <c r="J2" s="318"/>
      <c r="K2" s="318"/>
      <c r="L2" s="318"/>
      <c r="M2" s="318"/>
      <c r="N2" s="318"/>
      <c r="O2" s="318"/>
      <c r="P2" s="318"/>
      <c r="Q2" s="318"/>
      <c r="R2" s="318"/>
      <c r="S2" s="318"/>
      <c r="T2" s="318"/>
      <c r="U2" s="318"/>
    </row>
    <row r="3" ht="15.75" customHeight="1">
      <c r="A3" s="318"/>
      <c r="B3" s="318"/>
      <c r="C3" s="318"/>
      <c r="D3" s="318"/>
      <c r="E3" s="318"/>
      <c r="F3" s="318"/>
      <c r="G3" s="318"/>
      <c r="H3" s="318"/>
      <c r="I3" s="318"/>
      <c r="J3" s="318"/>
      <c r="K3" s="318"/>
      <c r="L3" s="318"/>
      <c r="M3" s="318"/>
      <c r="N3" s="318"/>
      <c r="O3" s="318"/>
      <c r="P3" s="318"/>
      <c r="Q3" s="318"/>
      <c r="R3" s="318"/>
      <c r="S3" s="318"/>
      <c r="T3" s="318"/>
      <c r="U3" s="318"/>
    </row>
    <row r="4" ht="4.5" customHeight="1">
      <c r="A4" s="308"/>
      <c r="B4" s="308"/>
      <c r="C4" s="308"/>
      <c r="D4" s="308"/>
      <c r="E4" s="308"/>
      <c r="F4" s="308"/>
      <c r="G4" s="308"/>
      <c r="H4" s="294"/>
      <c r="I4" s="294"/>
      <c r="J4" s="294"/>
      <c r="K4" s="294"/>
      <c r="L4" s="294"/>
      <c r="M4" s="294"/>
      <c r="N4" s="294"/>
      <c r="O4" s="309"/>
      <c r="P4" s="309"/>
      <c r="Q4" s="309"/>
      <c r="R4" s="309"/>
      <c r="S4" s="309"/>
      <c r="T4" s="309"/>
      <c r="U4" s="309"/>
    </row>
    <row r="5" ht="1.5" customHeight="1">
      <c r="A5" s="312"/>
      <c r="B5" s="312"/>
      <c r="C5" s="312"/>
      <c r="D5" s="312"/>
      <c r="E5" s="312"/>
      <c r="F5" s="312"/>
      <c r="G5" s="312"/>
      <c r="H5" s="312"/>
      <c r="I5" s="312"/>
      <c r="J5" s="312"/>
      <c r="K5" s="312"/>
      <c r="L5" s="312"/>
      <c r="M5" s="312"/>
      <c r="N5" s="312"/>
      <c r="O5" s="312"/>
      <c r="P5" s="312"/>
      <c r="Q5" s="312"/>
      <c r="R5" s="312"/>
      <c r="S5" s="312"/>
      <c r="T5" s="312"/>
      <c r="U5" s="312"/>
    </row>
    <row r="6" ht="15.75" customHeight="1">
      <c r="U6" s="11" t="s">
        <v>49</v>
      </c>
    </row>
    <row r="7">
      <c r="K7" s="140"/>
    </row>
    <row r="8" ht="15.75" customHeight="1">
      <c r="B8" s="294"/>
      <c r="C8" s="294"/>
      <c r="D8" s="294"/>
      <c r="E8" s="294"/>
      <c r="F8" s="294"/>
      <c r="G8" s="66" t="s">
        <v>44</v>
      </c>
      <c r="H8" s="66" t="s">
        <v>45</v>
      </c>
      <c r="I8" s="66" t="s">
        <v>46</v>
      </c>
      <c r="J8" s="66" t="s">
        <v>47</v>
      </c>
      <c r="K8" s="66" t="s">
        <v>48</v>
      </c>
    </row>
    <row r="9" ht="15.75" customHeight="1">
      <c r="B9" s="317" t="s">
        <v>228</v>
      </c>
      <c r="C9" s="317"/>
      <c r="D9" s="317"/>
      <c r="E9" s="317"/>
      <c r="F9" s="317"/>
      <c r="G9" s="25"/>
      <c r="H9" s="25"/>
      <c r="I9" s="25"/>
      <c r="J9" s="25"/>
      <c r="K9" s="33"/>
    </row>
    <row r="10" ht="15.75" customHeight="1">
      <c r="C10" s="67" t="s">
        <v>229</v>
      </c>
      <c r="D10" s="67"/>
      <c r="E10" s="67"/>
      <c r="F10" s="67"/>
      <c r="G10" s="27" t="n">
        <f>'Historical Income Statement'!G9</f>
        <v>4270894</v>
      </c>
      <c r="H10" s="27" t="n">
        <f>'Historical Income Statement'!H9</f>
        <v>5095254</v>
      </c>
      <c r="I10" s="27" t="n">
        <f>'Historical Income Statement'!I9</f>
        <v>5970146</v>
      </c>
      <c r="J10" s="27" t="n">
        <f>'Historical Income Statement'!J9</f>
        <v>6676668</v>
      </c>
      <c r="K10" s="27" t="n">
        <f>'Historical Income Statement'!K9</f>
        <v>7145768</v>
      </c>
    </row>
    <row r="11" ht="15.75" customHeight="1">
      <c r="C11" s="67" t="s">
        <v>230</v>
      </c>
      <c r="D11" s="67"/>
      <c r="E11" s="67"/>
      <c r="F11" s="67"/>
      <c r="G11" s="27" t="n">
        <f>'Historical Income Statement'!G10</f>
        <v>2080613</v>
      </c>
      <c r="H11" s="27" t="n">
        <f>'Historical Income Statement'!H10</f>
        <v>2648953</v>
      </c>
      <c r="I11" s="27" t="n">
        <f>'Historical Income Statement'!I10</f>
        <v>2995877</v>
      </c>
      <c r="J11" s="27" t="n">
        <f>'Historical Income Statement'!J10</f>
        <v>3329483</v>
      </c>
      <c r="K11" s="27" t="n">
        <f>'Historical Income Statement'!K10</f>
        <v>3452971</v>
      </c>
    </row>
    <row r="12" ht="15.75" customHeight="1">
      <c r="C12" s="67" t="s">
        <v>231</v>
      </c>
      <c r="D12" s="67"/>
      <c r="E12" s="67"/>
      <c r="F12" s="67"/>
      <c r="G12" s="27" t="n">
        <f>'Balance Sheet'!G17</f>
        <v>185000</v>
      </c>
      <c r="H12" s="27" t="n">
        <f>'Balance Sheet'!H17</f>
        <v>232414</v>
      </c>
      <c r="I12" s="27" t="n">
        <f>'Balance Sheet'!I17</f>
        <v>261380</v>
      </c>
      <c r="J12" s="27" t="n">
        <f>'Balance Sheet'!J17</f>
        <v>349176</v>
      </c>
      <c r="K12" s="27" t="n">
        <f>'Balance Sheet'!K17</f>
        <v>360339</v>
      </c>
    </row>
    <row r="13" ht="15.75" customHeight="1">
      <c r="C13" s="67" t="s">
        <v>232</v>
      </c>
      <c r="D13" s="67"/>
      <c r="E13" s="67"/>
      <c r="F13" s="67"/>
      <c r="G13" s="27" t="n">
        <f>'Balance Sheet'!G16</f>
        <v>540575</v>
      </c>
      <c r="H13" s="27" t="n">
        <f>'Balance Sheet'!H16</f>
        <v>674662</v>
      </c>
      <c r="I13" s="27" t="n">
        <f>'Balance Sheet'!I16</f>
        <v>948514</v>
      </c>
      <c r="J13" s="27" t="n">
        <f>'Balance Sheet'!J16</f>
        <v>1088194</v>
      </c>
      <c r="K13" s="27" t="n">
        <f>'Balance Sheet'!K16</f>
        <v>1113904</v>
      </c>
    </row>
    <row r="14" ht="15.75" customHeight="1">
      <c r="C14" s="34" t="s">
        <v>233</v>
      </c>
      <c r="D14" s="24"/>
      <c r="E14" s="24"/>
      <c r="F14" s="24"/>
      <c r="G14" s="27" t="n">
        <f>'Balance Sheet'!G36</f>
        <v>797832</v>
      </c>
      <c r="H14" s="27" t="n">
        <f>'Balance Sheet'!H36</f>
        <v>902968</v>
      </c>
      <c r="I14" s="27" t="n">
        <f>'Balance Sheet'!I36</f>
        <v>930560</v>
      </c>
      <c r="J14" s="27" t="n">
        <f>'Balance Sheet'!J36</f>
        <v>945657</v>
      </c>
      <c r="K14" s="27" t="n">
        <f>'Balance Sheet'!K36</f>
        <v>841256</v>
      </c>
    </row>
    <row r="15" ht="15.75" customHeight="1">
      <c r="B15" s="316"/>
      <c r="C15" s="316"/>
      <c r="D15" s="316"/>
      <c r="E15" s="316"/>
      <c r="F15" s="316"/>
      <c r="G15" s="33"/>
      <c r="H15" s="33"/>
      <c r="I15" s="33"/>
      <c r="J15" s="33"/>
      <c r="K15" s="33"/>
    </row>
    <row r="16" ht="15.75" customHeight="1">
      <c r="B16" s="36" t="s">
        <v>234</v>
      </c>
      <c r="G16" s="33"/>
      <c r="H16" s="33"/>
      <c r="I16" s="33"/>
      <c r="J16" s="33"/>
      <c r="K16" s="33"/>
    </row>
    <row r="17" ht="15.75" customHeight="1">
      <c r="B17" s="12"/>
      <c r="C17" s="19" t="s">
        <v>235</v>
      </c>
      <c r="G17" s="27" t="n">
        <f>G12</f>
        <v>185000</v>
      </c>
      <c r="H17" s="27" t="n">
        <f t="shared" ref="H17:K19" si="0">(G12+H12)/2</f>
        <v>208707</v>
      </c>
      <c r="I17" s="27">
        <f t="shared" si="0"/>
        <v>246897</v>
      </c>
      <c r="J17" s="27">
        <f t="shared" si="0"/>
        <v>305278</v>
      </c>
      <c r="K17" s="27">
        <f t="shared" si="0"/>
        <v>354757.5</v>
      </c>
    </row>
    <row r="18" ht="15.75" customHeight="1">
      <c r="C18" s="19" t="s">
        <v>236</v>
      </c>
      <c r="G18" s="27" t="n">
        <f>G13</f>
        <v>540575</v>
      </c>
      <c r="H18" s="27">
        <f t="shared" si="0"/>
        <v>607618.5</v>
      </c>
      <c r="I18" s="27">
        <f t="shared" si="0"/>
        <v>811588</v>
      </c>
      <c r="J18" s="27">
        <f t="shared" si="0"/>
        <v>1018354</v>
      </c>
      <c r="K18" s="27">
        <f t="shared" si="0"/>
        <v>1101049</v>
      </c>
    </row>
    <row r="19" ht="15.75" customHeight="1">
      <c r="B19" s="12"/>
      <c r="C19" s="19" t="s">
        <v>237</v>
      </c>
      <c r="G19" s="27" t="n">
        <f>G14</f>
        <v>797832</v>
      </c>
      <c r="H19" s="27">
        <f t="shared" si="0"/>
        <v>850400</v>
      </c>
      <c r="I19" s="27">
        <f t="shared" si="0"/>
        <v>916764</v>
      </c>
      <c r="J19" s="27">
        <f t="shared" si="0"/>
        <v>938108.5</v>
      </c>
      <c r="K19" s="27">
        <f t="shared" si="0"/>
        <v>893456.5</v>
      </c>
    </row>
    <row r="20" ht="15.75" customHeight="1">
      <c r="G20" s="33"/>
      <c r="H20" s="33"/>
      <c r="I20" s="33"/>
      <c r="J20" s="33"/>
      <c r="K20" s="33"/>
    </row>
    <row r="21" ht="15.75" customHeight="1">
      <c r="B21" s="36" t="s">
        <v>238</v>
      </c>
      <c r="G21" s="33"/>
      <c r="H21" s="33"/>
      <c r="I21" s="33"/>
      <c r="J21" s="33"/>
      <c r="K21" s="33"/>
    </row>
    <row r="22" ht="15.75" customHeight="1">
      <c r="C22" s="19" t="s">
        <v>239</v>
      </c>
      <c r="G22" s="68" t="n">
        <f t="shared" ref="G22:K23" si="1">G17/G10*365</f>
        <v>15.81050712099153</v>
      </c>
      <c r="H22" s="68">
        <f t="shared" si="1"/>
        <v>14.950786555488696</v>
      </c>
      <c r="I22" s="68">
        <f t="shared" si="1"/>
        <v>15.094673564097093</v>
      </c>
      <c r="J22" s="68">
        <f t="shared" si="1"/>
        <v>16.68893376157089</v>
      </c>
      <c r="K22" s="68">
        <f t="shared" si="1"/>
        <v>18.120723692680759</v>
      </c>
      <c r="M22" s="11" t="s">
        <v>240</v>
      </c>
    </row>
    <row r="23" ht="15.75" customHeight="1">
      <c r="C23" s="19" t="s">
        <v>241</v>
      </c>
      <c r="G23" s="68">
        <f t="shared" si="1"/>
        <v>94.832568574742155</v>
      </c>
      <c r="H23" s="68">
        <f t="shared" si="1"/>
        <v>83.72392885037975</v>
      </c>
      <c r="I23" s="68">
        <f t="shared" si="1"/>
        <v>98.879099509092001</v>
      </c>
      <c r="J23" s="68">
        <f t="shared" si="1"/>
        <v>111.63871688187025</v>
      </c>
      <c r="K23" s="68">
        <f t="shared" si="1"/>
        <v>116.38756450604421</v>
      </c>
      <c r="M23" s="11" t="s">
        <v>242</v>
      </c>
    </row>
    <row r="24" ht="15.75" customHeight="1">
      <c r="C24" s="19" t="s">
        <v>243</v>
      </c>
      <c r="G24" s="68" t="n">
        <f>G19/G11*365</f>
        <v>139.96292438814905</v>
      </c>
      <c r="H24" s="68" t="n">
        <f>H19/H11*365</f>
        <v>117.17686195262807</v>
      </c>
      <c r="I24" s="68" t="n">
        <f>I19/I11*365</f>
        <v>111.69312358284402</v>
      </c>
      <c r="J24" s="68" t="n">
        <f>J19/J11*365</f>
        <v>102.84167316667484</v>
      </c>
      <c r="K24" s="68" t="n">
        <f>K19/K11*365</f>
        <v>94.44377682291568</v>
      </c>
      <c r="M24" s="11" t="s">
        <v>244</v>
      </c>
    </row>
    <row r="25" ht="15.75" customHeight="1">
      <c r="B25" s="36" t="s">
        <v>245</v>
      </c>
      <c r="G25" s="69" t="n">
        <f>G22+G23-G24</f>
        <v>-29.319848692415363</v>
      </c>
      <c r="H25" s="69" t="n">
        <f>H22+H23-H24</f>
        <v>-18.502146546759633</v>
      </c>
      <c r="I25" s="69" t="n">
        <f>I22+I23-I24</f>
        <v>2.28064949034507</v>
      </c>
      <c r="J25" s="69" t="n">
        <f>J22+J23-J24</f>
        <v>25.485977476766294</v>
      </c>
      <c r="K25" s="69" t="n">
        <f>K22+K23-K24</f>
        <v>40.0645113758093</v>
      </c>
    </row>
    <row r="26" ht="15.75" customHeight="1">
      <c r="G26" s="33"/>
      <c r="H26" s="33"/>
      <c r="I26" s="33"/>
      <c r="J26" s="33"/>
      <c r="K26" s="33"/>
    </row>
    <row r="27" ht="15.75" customHeight="1">
      <c r="B27" s="36" t="s">
        <v>246</v>
      </c>
      <c r="G27" s="33"/>
      <c r="H27" s="33"/>
      <c r="I27" s="33"/>
      <c r="J27" s="33"/>
      <c r="K27" s="33"/>
    </row>
    <row r="28" ht="15.75" customHeight="1">
      <c r="C28" s="19" t="s">
        <v>247</v>
      </c>
      <c r="G28" s="287">
        <v>240696</v>
      </c>
      <c r="H28" s="287">
        <v>451166</v>
      </c>
      <c r="I28" s="287">
        <v>516096</v>
      </c>
      <c r="J28" s="287">
        <v>553771</v>
      </c>
      <c r="K28" s="287">
        <v>774535</v>
      </c>
    </row>
    <row r="29" ht="15.75" customHeight="1">
      <c r="C29" s="19" t="s">
        <v>248</v>
      </c>
      <c r="G29" s="68" t="n">
        <f>G28/G10*365</f>
        <v>20.570409848617174</v>
      </c>
      <c r="H29" s="68" t="n">
        <f>H28/H10*365</f>
        <v>32.31940743287773</v>
      </c>
      <c r="I29" s="68" t="n">
        <f>I28/I10*365</f>
        <v>31.552836396295834</v>
      </c>
      <c r="J29" s="68" t="n">
        <f>J28/J10*365</f>
        <v>30.27354587647611</v>
      </c>
      <c r="K29" s="68" t="n">
        <f>K28/K10*365</f>
        <v>39.56261594275101</v>
      </c>
    </row>
    <row r="30" ht="15.75" customHeight="1">
      <c r="C30" s="19" t="s">
        <v>249</v>
      </c>
      <c r="G30" s="69" t="n">
        <f>G25-G29</f>
        <v>-49.89025854103254</v>
      </c>
      <c r="H30" s="69" t="n">
        <f>H25-H29</f>
        <v>-50.821553979637365</v>
      </c>
      <c r="I30" s="69" t="n">
        <f>I25-I29</f>
        <v>-29.272186905950765</v>
      </c>
      <c r="J30" s="69" t="n">
        <f>J25-J29</f>
        <v>-4.787568399709816</v>
      </c>
      <c r="K30" s="69" t="n">
        <f>K25-K29</f>
        <v>0.5018954330582943</v>
      </c>
    </row>
    <row r="31" ht="15.75" customHeight="1">
      <c r="G31" s="33"/>
      <c r="H31" s="33"/>
      <c r="I31" s="33"/>
      <c r="J31" s="33"/>
      <c r="K31" s="33"/>
    </row>
    <row r="32" ht="15.75" customHeight="1">
      <c r="B32" s="36" t="s">
        <v>250</v>
      </c>
      <c r="G32" s="33"/>
      <c r="H32" s="33"/>
      <c r="I32" s="33"/>
      <c r="J32" s="33"/>
      <c r="K32" s="33"/>
    </row>
    <row r="33" ht="15.75" customHeight="1">
      <c r="C33" s="19" t="s">
        <v>251</v>
      </c>
      <c r="G33" s="27" t="n">
        <f>G12+G13-G14</f>
        <v>-72257</v>
      </c>
      <c r="H33" s="27" t="n">
        <f>H12+H13-H14</f>
        <v>4108</v>
      </c>
      <c r="I33" s="27" t="n">
        <f>I12+I13-I14</f>
        <v>279334</v>
      </c>
      <c r="J33" s="27" t="n">
        <f>J12+J13-J14</f>
        <v>491713</v>
      </c>
      <c r="K33" s="27" t="n">
        <f>K12+K13-K14</f>
        <v>632987</v>
      </c>
    </row>
    <row r="34" ht="15.75" customHeight="1">
      <c r="C34" s="19" t="s">
        <v>252</v>
      </c>
      <c r="G34" s="27" t="n">
        <f>'Economic Balance Sheet'!G18</f>
        <v>-775412</v>
      </c>
      <c r="H34" s="27" t="n">
        <f>'Economic Balance Sheet'!H18</f>
        <v>-837243</v>
      </c>
      <c r="I34" s="27" t="n">
        <f>'Economic Balance Sheet'!I18</f>
        <v>-691060</v>
      </c>
      <c r="J34" s="27" t="n">
        <f>'Economic Balance Sheet'!J18</f>
        <v>-498700</v>
      </c>
      <c r="K34" s="27" t="n">
        <f>'Economic Balance Sheet'!K18</f>
        <v>-572642</v>
      </c>
    </row>
    <row r="35" ht="15.75" customHeight="1">
      <c r="C35" s="19" t="s">
        <v>253</v>
      </c>
      <c r="G35" s="53" t="n">
        <f>G33/G10</f>
        <v>-0.016918471870292263</v>
      </c>
      <c r="H35" s="53" t="n">
        <f>H33/H10</f>
        <v>0.0008062404739783335</v>
      </c>
      <c r="I35" s="53" t="n">
        <f>I33/I10</f>
        <v>0.04678847049971642</v>
      </c>
      <c r="J35" s="53" t="n">
        <f>J33/J10</f>
        <v>0.07364646557234836</v>
      </c>
      <c r="K35" s="53" t="n">
        <f>K33/K10</f>
        <v>0.08858208103033852</v>
      </c>
    </row>
    <row r="36" ht="15.75" customHeight="1">
      <c r="C36" s="19" t="s">
        <v>254</v>
      </c>
      <c r="G36" s="53" t="n">
        <f>G34/G10</f>
        <v>-0.1815573039274681</v>
      </c>
      <c r="H36" s="53" t="n">
        <f>H34/H10</f>
        <v>-0.16431820670765382</v>
      </c>
      <c r="I36" s="53" t="n">
        <f>I34/I10</f>
        <v>-0.11575261308517414</v>
      </c>
      <c r="J36" s="53" t="n">
        <f>J34/J10</f>
        <v>-0.07469294564294646</v>
      </c>
      <c r="K36" s="53" t="n">
        <f>K34/K10</f>
        <v>-0.08013722247909531</v>
      </c>
    </row>
    <row r="37" ht="15.75" customHeight="1">
      <c r="C37" s="19" t="s">
        <v>255</v>
      </c>
      <c r="G37" s="33"/>
      <c r="H37" s="27" t="n">
        <f>H34-G34</f>
        <v>-61831</v>
      </c>
      <c r="I37" s="27" t="n">
        <f>I34-H34</f>
        <v>146183</v>
      </c>
      <c r="J37" s="27" t="n">
        <f>J34-I34</f>
        <v>192360</v>
      </c>
      <c r="K37" s="27" t="n">
        <f>K34-J34</f>
        <v>-73942</v>
      </c>
    </row>
    <row r="38" ht="15.75" customHeight="1">
      <c r="B38" s="36"/>
      <c r="G38" s="70"/>
      <c r="H38" s="70"/>
      <c r="I38" s="70"/>
      <c r="J38" s="70"/>
      <c r="K38" s="70"/>
    </row>
    <row r="40" ht="15.75" customHeight="1">
      <c r="C40" s="19"/>
      <c r="G40" s="20"/>
      <c r="H40" s="20"/>
      <c r="I40" s="20"/>
      <c r="J40" s="20"/>
      <c r="K40" s="20"/>
    </row>
  </sheetData>
  <mergeCells>
    <mergeCell ref="B8:F8"/>
    <mergeCell ref="B9:F9"/>
    <mergeCell ref="B15:F15"/>
    <mergeCell ref="A1:U3"/>
    <mergeCell ref="A4:G4"/>
    <mergeCell ref="H4:N4"/>
    <mergeCell ref="O4:U4"/>
    <mergeCell ref="A5:U5"/>
  </mergeCells>
  <pageMargins left="0.7" right="0.7" top="0.75" bottom="0.75" header="0.3" footer="0.3"/>
  <drawing r:id="R597ff25bdc2f4100"/>
</worksheet>
</file>

<file path=xl/worksheets/sheet11.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6640625" style="11" customWidth="1"/>
    <col min="3" max="5" width="10.83203125" style="11" customWidth="1"/>
    <col min="6" max="6" width="16.6640625" style="11" customWidth="1"/>
    <col min="7" max="25" width="10.83203125" style="11" customWidth="1"/>
    <col min="26" max="26" width="11" style="11" customWidth="1"/>
  </cols>
  <sheetData>
    <row r="1" ht="15.75" customHeight="1">
      <c r="A1" s="318" t="s">
        <v>256</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5.75" customHeight="1">
      <c r="Z6" s="11" t="s">
        <v>49</v>
      </c>
    </row>
    <row r="7" ht="16.5" customHeight="1">
      <c r="U7" s="140"/>
    </row>
    <row r="8" ht="15.75" customHeight="1">
      <c r="B8" s="71" t="s">
        <v>13</v>
      </c>
      <c r="C8" s="72"/>
      <c r="D8" s="72"/>
      <c r="E8" s="72"/>
      <c r="F8" s="72"/>
      <c r="G8" s="40" t="s">
        <v>44</v>
      </c>
      <c r="H8" s="40" t="s">
        <v>45</v>
      </c>
      <c r="I8" s="40" t="s">
        <v>46</v>
      </c>
      <c r="J8" s="40" t="s">
        <v>47</v>
      </c>
      <c r="K8" s="40" t="s">
        <v>48</v>
      </c>
      <c r="L8" s="73" t="s">
        <v>257</v>
      </c>
      <c r="M8" s="73" t="s">
        <v>258</v>
      </c>
      <c r="N8" s="73" t="s">
        <v>259</v>
      </c>
      <c r="O8" s="73" t="s">
        <v>260</v>
      </c>
      <c r="P8" s="73" t="s">
        <v>261</v>
      </c>
      <c r="Q8" s="73" t="s">
        <v>262</v>
      </c>
      <c r="R8" s="73" t="s">
        <v>263</v>
      </c>
      <c r="S8" s="73" t="s">
        <v>264</v>
      </c>
      <c r="T8" s="73" t="s">
        <v>265</v>
      </c>
      <c r="U8" s="73" t="s">
        <v>266</v>
      </c>
    </row>
    <row r="9" ht="15.75" customHeight="1">
      <c r="B9" s="36" t="s">
        <v>267</v>
      </c>
      <c r="C9" s="19"/>
      <c r="G9" s="27"/>
      <c r="H9" s="27"/>
      <c r="I9" s="27"/>
      <c r="J9" s="27"/>
      <c r="K9" s="27"/>
      <c r="L9" s="74"/>
      <c r="M9" s="74"/>
      <c r="N9" s="74"/>
      <c r="O9" s="74"/>
      <c r="P9" s="74"/>
      <c r="Q9" s="74"/>
      <c r="R9" s="74"/>
      <c r="S9" s="74"/>
      <c r="T9" s="74"/>
      <c r="U9" s="74"/>
    </row>
    <row r="10" ht="15.75" customHeight="1">
      <c r="B10" s="12"/>
      <c r="C10" s="19" t="s">
        <v>147</v>
      </c>
      <c r="G10" s="27"/>
      <c r="H10" s="75" t="n">
        <f>(Forecasts!H12/Forecasts!G12)-1</f>
        <v>0.2162445909439159</v>
      </c>
      <c r="I10" s="75" t="n">
        <f>(Forecasts!I12/Forecasts!H12)-1</f>
        <v>0.18468846039915587</v>
      </c>
      <c r="J10" s="75" t="n">
        <f>(Forecasts!J12/Forecasts!I12)-1</f>
        <v>0.11886803768024601</v>
      </c>
      <c r="K10" s="75" t="n">
        <f>(Forecasts!K12/Forecasts!J12)-1</f>
        <v>0.04845847050328156</v>
      </c>
      <c r="L10" s="76">
        <v>4.4999999999999998E-2</v>
      </c>
      <c r="M10" s="76">
        <v>5.5E-2</v>
      </c>
      <c r="N10" s="76">
        <v>5.5E-2</v>
      </c>
      <c r="O10" s="76">
        <v>0.05</v>
      </c>
      <c r="P10" s="76">
        <v>4.4999999999999998E-2</v>
      </c>
      <c r="Q10" s="76">
        <v>0.04</v>
      </c>
      <c r="R10" s="77">
        <v>3.5000000000000003E-2</v>
      </c>
      <c r="S10" s="76">
        <v>0.03</v>
      </c>
      <c r="T10" s="76">
        <v>0.03</v>
      </c>
      <c r="U10" s="76">
        <v>2.5000000000000001E-2</v>
      </c>
    </row>
    <row r="11" ht="15.75" customHeight="1">
      <c r="C11" s="19" t="s">
        <v>148</v>
      </c>
      <c r="G11" s="27"/>
      <c r="H11" s="75" t="n">
        <f>(Forecasts!H13/Forecasts!G13)-1</f>
        <v>0.10646542163864625</v>
      </c>
      <c r="I11" s="75" t="n">
        <f>(Forecasts!I13/Forecasts!H13)-1</f>
        <v>0.14612888159226722</v>
      </c>
      <c r="J11" s="75" t="n">
        <f>(Forecasts!J13/Forecasts!I13)-1</f>
        <v>0.17143062024384403</v>
      </c>
      <c r="K11" s="75" t="n">
        <f>(Forecasts!K13/Forecasts!J13)-1</f>
        <v>0.22361953847256388</v>
      </c>
      <c r="L11" s="76">
        <v>0.1</v>
      </c>
      <c r="M11" s="76">
        <v>9.5000000000000001E-2</v>
      </c>
      <c r="N11" s="76">
        <v>0.09</v>
      </c>
      <c r="O11" s="76">
        <v>8.5000000000000006E-2</v>
      </c>
      <c r="P11" s="76">
        <v>0.08</v>
      </c>
      <c r="Q11" s="76">
        <v>0.08</v>
      </c>
      <c r="R11" s="77">
        <v>7.4999999999999997E-2</v>
      </c>
      <c r="S11" s="76">
        <v>6.5000000000000002E-2</v>
      </c>
      <c r="T11" s="76">
        <v>0.06</v>
      </c>
      <c r="U11" s="76">
        <v>0.05</v>
      </c>
    </row>
    <row r="12" ht="15.75" customHeight="1">
      <c r="B12" s="12"/>
      <c r="C12" s="19" t="s">
        <v>152</v>
      </c>
      <c r="G12" s="27"/>
      <c r="H12" s="75" t="n">
        <f>(Forecasts!H14/Forecasts!G14)-1</f>
        <v>0.030228745939310464</v>
      </c>
      <c r="I12" s="75" t="n">
        <f>(Forecasts!I14/Forecasts!H14)-1</f>
        <v>0.014287634457429643</v>
      </c>
      <c r="J12" s="75" t="n">
        <f>(Forecasts!J14/Forecasts!I14)-1</f>
        <v>-0.000007163169845947337</v>
      </c>
      <c r="K12" s="75" t="n">
        <f>(Forecasts!K14/Forecasts!J14)-1</f>
        <v>0.14960387387000185</v>
      </c>
      <c r="L12" s="76">
        <v>0.04</v>
      </c>
      <c r="M12" s="76">
        <v>0.04</v>
      </c>
      <c r="N12" s="76">
        <v>0.04</v>
      </c>
      <c r="O12" s="76">
        <v>0.04</v>
      </c>
      <c r="P12" s="76">
        <v>0.04</v>
      </c>
      <c r="Q12" s="76">
        <v>3.5000000000000003E-2</v>
      </c>
      <c r="R12" s="77">
        <v>3.5000000000000003E-2</v>
      </c>
      <c r="S12" s="76">
        <v>0.03</v>
      </c>
      <c r="T12" s="76">
        <v>0.03</v>
      </c>
      <c r="U12" s="76">
        <v>0.03</v>
      </c>
    </row>
    <row r="13" ht="15.75" customHeight="1">
      <c r="G13" s="33"/>
      <c r="H13" s="33"/>
      <c r="I13" s="33"/>
      <c r="J13" s="33"/>
      <c r="K13" s="33"/>
      <c r="L13" s="74"/>
      <c r="M13" s="74"/>
      <c r="N13" s="74"/>
      <c r="O13" s="74"/>
      <c r="P13" s="74"/>
      <c r="Q13" s="74"/>
      <c r="R13" s="74"/>
      <c r="S13" s="74"/>
      <c r="T13" s="74"/>
      <c r="U13" s="74"/>
    </row>
    <row r="14" ht="15.75" customHeight="1">
      <c r="B14" s="36" t="s">
        <v>268</v>
      </c>
      <c r="C14" s="19"/>
      <c r="G14" s="31"/>
      <c r="H14" s="53" t="n">
        <f>(Forecasts!H18/Forecasts!G18)-1</f>
        <v>0.1852084267144778</v>
      </c>
      <c r="I14" s="53" t="n">
        <f>(Forecasts!I18/Forecasts!H18)-1</f>
        <v>0.03343166175024592</v>
      </c>
      <c r="J14" s="53" t="n">
        <f>(Forecasts!J18/Forecasts!I18)-1</f>
        <v>0.006513942765132175</v>
      </c>
      <c r="K14" s="53" t="n">
        <f>(Forecasts!K18/Forecasts!J18)-1</f>
        <v>-0.00814426992437467</v>
      </c>
      <c r="L14" s="76">
        <v>5.0000000000000001E-3</v>
      </c>
      <c r="M14" s="76">
        <v>5.0000000000000001E-3</v>
      </c>
      <c r="N14" s="76">
        <v>5.0000000000000001E-3</v>
      </c>
      <c r="O14" s="76">
        <v>5.0000000000000001E-3</v>
      </c>
      <c r="P14" s="76">
        <v>5.0000000000000001E-3</v>
      </c>
      <c r="Q14" s="78">
        <v>5.0000000000000001E-3</v>
      </c>
      <c r="R14" s="79">
        <v>5.0000000000000001E-3</v>
      </c>
      <c r="S14" s="78">
        <v>5.0000000000000001E-3</v>
      </c>
      <c r="T14" s="78">
        <v>5.0000000000000001E-3</v>
      </c>
      <c r="U14" s="78">
        <v>5.0000000000000001E-3</v>
      </c>
    </row>
    <row r="15" ht="15.75" customHeight="1">
      <c r="G15" s="33"/>
      <c r="H15" s="33"/>
      <c r="I15" s="33"/>
      <c r="J15" s="33"/>
      <c r="K15" s="33"/>
      <c r="L15" s="74"/>
      <c r="M15" s="74"/>
      <c r="N15" s="74"/>
      <c r="O15" s="74"/>
      <c r="P15" s="74"/>
      <c r="Q15" s="74"/>
      <c r="R15" s="74"/>
      <c r="S15" s="74"/>
      <c r="T15" s="74"/>
      <c r="U15" s="74"/>
    </row>
    <row r="16" ht="15.75" customHeight="1">
      <c r="B16" s="36" t="s">
        <v>269</v>
      </c>
      <c r="G16" s="33"/>
      <c r="H16" s="33"/>
      <c r="I16" s="33"/>
      <c r="J16" s="33"/>
      <c r="K16" s="33"/>
      <c r="L16" s="74"/>
      <c r="M16" s="74"/>
      <c r="N16" s="74"/>
      <c r="O16" s="74"/>
      <c r="P16" s="74"/>
      <c r="Q16" s="74"/>
      <c r="R16" s="74"/>
      <c r="S16" s="74"/>
      <c r="T16" s="74"/>
      <c r="U16" s="74"/>
    </row>
    <row r="17" ht="15.75" customHeight="1">
      <c r="C17" s="19" t="s">
        <v>230</v>
      </c>
      <c r="G17" s="75" t="n">
        <f>'Historical Income Statement'!G10/'Historical Income Statement'!G9</f>
        <v>0.48716100188859757</v>
      </c>
      <c r="H17" s="75" t="n">
        <f>'Historical Income Statement'!H10/'Historical Income Statement'!H9</f>
        <v>0.5198863491398074</v>
      </c>
      <c r="I17" s="75" t="n">
        <f>'Historical Income Statement'!I10/'Historical Income Statement'!I9</f>
        <v>0.5018096709862707</v>
      </c>
      <c r="J17" s="75" t="n">
        <f>'Historical Income Statement'!J10/'Historical Income Statement'!J9</f>
        <v>0.49867433875699674</v>
      </c>
      <c r="K17" s="75" t="n">
        <f>'Historical Income Statement'!K10/'Historical Income Statement'!K9</f>
        <v>0.483219018585546</v>
      </c>
      <c r="L17" s="76">
        <v>0.48</v>
      </c>
      <c r="M17" s="76">
        <v>0.47899999999999998</v>
      </c>
      <c r="N17" s="76">
        <v>0.47799999999999998</v>
      </c>
      <c r="O17" s="76">
        <v>0.47699999999999998</v>
      </c>
      <c r="P17" s="76">
        <v>0.47599999999999998</v>
      </c>
      <c r="Q17" s="76">
        <v>0.47599999999999998</v>
      </c>
      <c r="R17" s="77">
        <v>0.47599999999999998</v>
      </c>
      <c r="S17" s="76">
        <v>0.47599999999999998</v>
      </c>
      <c r="T17" s="76">
        <v>0.47599999999999998</v>
      </c>
      <c r="U17" s="76">
        <v>0.47599999999999998</v>
      </c>
      <c r="W17" s="16"/>
      <c r="X17" s="16"/>
      <c r="Y17" s="16"/>
      <c r="Z17" s="16"/>
      <c r="AA17" s="16"/>
      <c r="AB17" s="16"/>
      <c r="AC17" s="16"/>
      <c r="AD17" s="16"/>
      <c r="AE17" s="16"/>
      <c r="AF17" s="16"/>
      <c r="AG17" s="16"/>
    </row>
    <row r="18" ht="15.75" customHeight="1">
      <c r="B18" s="36"/>
      <c r="C18" s="19" t="s">
        <v>160</v>
      </c>
      <c r="G18" s="75" t="n">
        <f>'Revenue Recognition'!G29/'Revenue Recognition'!G13</f>
        <v>0.03944513724761139</v>
      </c>
      <c r="H18" s="75" t="n">
        <f>'Revenue Recognition'!H29/'Revenue Recognition'!H13</f>
        <v>0.044548907669764846</v>
      </c>
      <c r="I18" s="75" t="n">
        <f>'Revenue Recognition'!I29/'Revenue Recognition'!I13</f>
        <v>0.03960422408430213</v>
      </c>
      <c r="J18" s="75" t="n">
        <f>'Revenue Recognition'!J29/'Revenue Recognition'!J13</f>
        <v>0.04321586755549325</v>
      </c>
      <c r="K18" s="75" t="n">
        <f>'Revenue Recognition'!K29/'Revenue Recognition'!K13</f>
        <v>0.04889495432821217</v>
      </c>
      <c r="L18" s="76">
        <v>0.05</v>
      </c>
      <c r="M18" s="76">
        <v>0.05</v>
      </c>
      <c r="N18" s="76">
        <v>0.05</v>
      </c>
      <c r="O18" s="76">
        <v>0.05</v>
      </c>
      <c r="P18" s="76">
        <v>0.05</v>
      </c>
      <c r="Q18" s="76">
        <v>0.05</v>
      </c>
      <c r="R18" s="77">
        <v>0.05</v>
      </c>
      <c r="S18" s="76">
        <v>0.05</v>
      </c>
      <c r="T18" s="76">
        <v>0.05</v>
      </c>
      <c r="U18" s="76">
        <v>0.05</v>
      </c>
    </row>
    <row r="19" ht="15.75" customHeight="1">
      <c r="C19" s="19" t="s">
        <v>161</v>
      </c>
      <c r="G19" s="75" t="n">
        <f>'Revenue Recognition'!G30/'Revenue Recognition'!G13</f>
        <v>0.04204225157543128</v>
      </c>
      <c r="H19" s="75" t="n">
        <f>'Revenue Recognition'!H30/'Revenue Recognition'!H13</f>
        <v>0.03944572733763616</v>
      </c>
      <c r="I19" s="75" t="n">
        <f>'Revenue Recognition'!I30/'Revenue Recognition'!I13</f>
        <v>0.03787796814349264</v>
      </c>
      <c r="J19" s="75" t="n">
        <f>'Revenue Recognition'!J30/'Revenue Recognition'!J13</f>
        <v>0.04082964736302599</v>
      </c>
      <c r="K19" s="75" t="n">
        <f>'Revenue Recognition'!K30/'Revenue Recognition'!K13</f>
        <v>0.04101700475022419</v>
      </c>
      <c r="L19" s="76">
        <v>4.1000000000000002E-2</v>
      </c>
      <c r="M19" s="76">
        <v>4.1000000000000002E-2</v>
      </c>
      <c r="N19" s="76">
        <v>4.1000000000000002E-2</v>
      </c>
      <c r="O19" s="76">
        <v>4.1000000000000002E-2</v>
      </c>
      <c r="P19" s="76">
        <v>4.1000000000000002E-2</v>
      </c>
      <c r="Q19" s="76">
        <v>4.1000000000000002E-2</v>
      </c>
      <c r="R19" s="77">
        <v>4.1000000000000002E-2</v>
      </c>
      <c r="S19" s="76">
        <v>4.1000000000000002E-2</v>
      </c>
      <c r="T19" s="76">
        <v>4.1000000000000002E-2</v>
      </c>
      <c r="U19" s="76">
        <v>4.1000000000000002E-2</v>
      </c>
    </row>
    <row r="20" ht="15.75" customHeight="1">
      <c r="B20" s="36" t="s">
        <v>270</v>
      </c>
      <c r="C20" s="19"/>
      <c r="G20" s="27"/>
      <c r="H20" s="27"/>
      <c r="I20" s="27"/>
      <c r="J20" s="27"/>
      <c r="K20" s="27"/>
      <c r="L20" s="74"/>
      <c r="M20" s="74"/>
      <c r="N20" s="74"/>
      <c r="O20" s="74"/>
      <c r="P20" s="74"/>
      <c r="Q20" s="74"/>
      <c r="R20" s="74"/>
      <c r="S20" s="74"/>
      <c r="T20" s="74"/>
      <c r="U20" s="74"/>
    </row>
    <row r="21" ht="15.75" customHeight="1">
      <c r="C21" s="19" t="s">
        <v>271</v>
      </c>
      <c r="G21" s="27"/>
      <c r="H21" s="53" t="n">
        <f>'Revenue Recognition'!H41/'Revenue Recognition'!G41-1</f>
        <v>-0.09725747517572236</v>
      </c>
      <c r="I21" s="53" t="n">
        <f>'Revenue Recognition'!I41/'Revenue Recognition'!H41-1</f>
        <v>0.04067070650893512</v>
      </c>
      <c r="J21" s="53" t="n">
        <f>'Revenue Recognition'!J41/'Revenue Recognition'!I41-1</f>
        <v>0.04529200987932902</v>
      </c>
      <c r="K21" s="53" t="n">
        <f>'Revenue Recognition'!K41/'Revenue Recognition'!J41-1</f>
        <v>0.05215413865520113</v>
      </c>
      <c r="L21" s="76">
        <v>0.05</v>
      </c>
      <c r="M21" s="76">
        <v>0.05</v>
      </c>
      <c r="N21" s="76">
        <v>0.05</v>
      </c>
      <c r="O21" s="76">
        <v>0.05</v>
      </c>
      <c r="P21" s="76">
        <v>0.05</v>
      </c>
      <c r="Q21" s="76">
        <v>0.05</v>
      </c>
      <c r="R21" s="76">
        <v>0.05</v>
      </c>
      <c r="S21" s="76">
        <v>0.05</v>
      </c>
      <c r="T21" s="76">
        <v>0.05</v>
      </c>
      <c r="U21" s="76">
        <v>0.05</v>
      </c>
    </row>
    <row r="22" ht="15.75" customHeight="1">
      <c r="C22" s="19" t="s">
        <v>272</v>
      </c>
      <c r="G22" s="33"/>
      <c r="H22" s="53" t="n">
        <f>'Revenue Recognition'!H42/'Revenue Recognition'!G42-1</f>
        <v>0.32528076021226715</v>
      </c>
      <c r="I22" s="53" t="n">
        <f>'Revenue Recognition'!I42/'Revenue Recognition'!H42-1</f>
        <v>0.32951538431692073</v>
      </c>
      <c r="J22" s="53" t="n">
        <f>'Revenue Recognition'!J42/'Revenue Recognition'!I42-1</f>
        <v>-0.03465574803884941</v>
      </c>
      <c r="K22" s="53" t="n">
        <f>'Revenue Recognition'!K42/'Revenue Recognition'!J42-1</f>
        <v>-0.013936713414615665</v>
      </c>
      <c r="L22" s="76">
        <v>7.0000000000000007E-2</v>
      </c>
      <c r="M22" s="76">
        <v>7.0000000000000007E-2</v>
      </c>
      <c r="N22" s="76">
        <v>7.0000000000000007E-2</v>
      </c>
      <c r="O22" s="76">
        <v>7.0000000000000007E-2</v>
      </c>
      <c r="P22" s="76">
        <v>7.0000000000000007E-2</v>
      </c>
      <c r="Q22" s="76">
        <v>7.0000000000000007E-2</v>
      </c>
      <c r="R22" s="76">
        <v>7.0000000000000007E-2</v>
      </c>
      <c r="S22" s="76">
        <v>7.0000000000000007E-2</v>
      </c>
      <c r="T22" s="76">
        <v>7.0000000000000007E-2</v>
      </c>
      <c r="U22" s="76">
        <v>7.0000000000000007E-2</v>
      </c>
    </row>
    <row r="23" ht="15.75" customHeight="1">
      <c r="B23" s="36" t="s">
        <v>273</v>
      </c>
      <c r="G23" s="33"/>
      <c r="H23" s="33"/>
      <c r="I23" s="33"/>
      <c r="J23" s="33"/>
      <c r="K23" s="33"/>
      <c r="L23" s="74"/>
      <c r="M23" s="74"/>
      <c r="N23" s="74"/>
      <c r="O23" s="74"/>
      <c r="P23" s="74"/>
      <c r="Q23" s="74"/>
      <c r="R23" s="74"/>
      <c r="S23" s="74"/>
      <c r="T23" s="74"/>
      <c r="U23" s="74"/>
    </row>
    <row r="24" ht="15.75" customHeight="1">
      <c r="C24" s="19" t="s">
        <v>274</v>
      </c>
      <c r="G24" s="75" t="n">
        <f>Forecasts!G33/Forecasts!G15</f>
        <v>0.0013020693091423013</v>
      </c>
      <c r="H24" s="75" t="n">
        <f>Forecasts!H33/Forecasts!H15</f>
        <v>0.004229033528063567</v>
      </c>
      <c r="I24" s="75" t="n">
        <f>Forecasts!I33/Forecasts!I15</f>
        <v>0.0031654167251521153</v>
      </c>
      <c r="J24" s="75" t="n">
        <f>Forecasts!J33/Forecasts!J15</f>
        <v>0.0018636541460500956</v>
      </c>
      <c r="K24" s="75" t="n">
        <f>Forecasts!K33/Forecasts!K15</f>
        <v>0.004800323772056411</v>
      </c>
      <c r="L24" s="78">
        <v>4.0000000000000001E-3</v>
      </c>
      <c r="M24" s="78">
        <v>4.0000000000000001E-3</v>
      </c>
      <c r="N24" s="78">
        <v>4.0000000000000001E-3</v>
      </c>
      <c r="O24" s="78">
        <v>4.0000000000000001E-3</v>
      </c>
      <c r="P24" s="78">
        <v>4.0000000000000001E-3</v>
      </c>
      <c r="Q24" s="78">
        <v>4.0000000000000001E-3</v>
      </c>
      <c r="R24" s="78">
        <v>4.0000000000000001E-3</v>
      </c>
      <c r="S24" s="78">
        <v>4.0000000000000001E-3</v>
      </c>
      <c r="T24" s="78">
        <v>4.0000000000000001E-3</v>
      </c>
      <c r="U24" s="78">
        <v>4.0000000000000001E-3</v>
      </c>
    </row>
    <row r="25" ht="15.75" customHeight="1">
      <c r="C25" s="19" t="s">
        <v>275</v>
      </c>
      <c r="G25" s="33"/>
      <c r="H25" s="53" t="n">
        <f>(Forecasts!H34/Forecasts!G34)-1</f>
        <v>-0.10455336426914152</v>
      </c>
      <c r="I25" s="53" t="n">
        <f>(Forecasts!I34/Forecasts!H34)-1</f>
        <v>-0.006153846153846176</v>
      </c>
      <c r="J25" s="53" t="n">
        <f>(Forecasts!J34/Forecasts!I34)-1</f>
        <v>0.3434903047091413</v>
      </c>
      <c r="K25" s="53" t="n">
        <f>(Forecasts!K34/Forecasts!J34)-1</f>
        <v>0.5248029108550636</v>
      </c>
      <c r="L25" s="76">
        <v>0.05</v>
      </c>
      <c r="M25" s="76">
        <v>0.05</v>
      </c>
      <c r="N25" s="76">
        <v>0.05</v>
      </c>
      <c r="O25" s="76">
        <v>0.05</v>
      </c>
      <c r="P25" s="76">
        <v>0.05</v>
      </c>
      <c r="Q25" s="76">
        <v>0.05</v>
      </c>
      <c r="R25" s="76">
        <v>0.05</v>
      </c>
      <c r="S25" s="76">
        <v>0.05</v>
      </c>
      <c r="T25" s="76">
        <v>0.05</v>
      </c>
      <c r="U25" s="76">
        <v>0.05</v>
      </c>
    </row>
    <row r="26" ht="15.75" customHeight="1">
      <c r="B26" s="36" t="s">
        <v>276</v>
      </c>
      <c r="G26" s="33"/>
      <c r="H26" s="33"/>
      <c r="I26" s="33"/>
      <c r="J26" s="33"/>
      <c r="K26" s="33"/>
      <c r="L26" s="74"/>
      <c r="M26" s="74"/>
      <c r="N26" s="74"/>
      <c r="O26" s="74"/>
      <c r="P26" s="74"/>
      <c r="Q26" s="74"/>
      <c r="R26" s="74"/>
      <c r="S26" s="74"/>
      <c r="T26" s="74"/>
      <c r="U26" s="74"/>
    </row>
    <row r="27" ht="15.75" customHeight="1">
      <c r="B27" s="36" t="s">
        <v>277</v>
      </c>
      <c r="G27" s="31"/>
      <c r="H27" s="31"/>
      <c r="I27" s="31"/>
      <c r="J27" s="31"/>
      <c r="K27" s="31"/>
      <c r="L27" s="80"/>
      <c r="M27" s="80"/>
      <c r="N27" s="80"/>
      <c r="O27" s="80"/>
      <c r="P27" s="80"/>
      <c r="Q27" s="80"/>
      <c r="R27" s="80"/>
      <c r="S27" s="80"/>
      <c r="T27" s="80"/>
      <c r="U27" s="80"/>
    </row>
    <row r="28" ht="15.75" customHeight="1">
      <c r="C28" s="19" t="s">
        <v>278</v>
      </c>
      <c r="G28" s="33"/>
      <c r="H28" s="75" t="n">
        <f>(Forecasts!H38/Forecasts!G38)-1</f>
        <v>0.10315964162941604</v>
      </c>
      <c r="I28" s="75" t="n">
        <f>(Forecasts!I38/Forecasts!H38)-1</f>
        <v>0.10798800672455333</v>
      </c>
      <c r="J28" s="75" t="n">
        <f>(Forecasts!J38/Forecasts!I38)-1</f>
        <v>0.05114046970270514</v>
      </c>
      <c r="K28" s="75" t="n">
        <f>(Forecasts!K38/Forecasts!J38)-1</f>
        <v>-0.0006845319587137633</v>
      </c>
      <c r="L28" s="76">
        <v>0.08</v>
      </c>
      <c r="M28" s="76">
        <v>0.08</v>
      </c>
      <c r="N28" s="76">
        <v>7.0000000000000007E-2</v>
      </c>
      <c r="O28" s="76">
        <v>0.06</v>
      </c>
      <c r="P28" s="76">
        <v>0.05</v>
      </c>
      <c r="Q28" s="76">
        <v>0.05</v>
      </c>
      <c r="R28" s="76">
        <v>0.05</v>
      </c>
      <c r="S28" s="76">
        <v>0.05</v>
      </c>
      <c r="T28" s="76">
        <v>0.05</v>
      </c>
      <c r="U28" s="76">
        <v>0.05</v>
      </c>
    </row>
    <row r="29" ht="15.75" customHeight="1">
      <c r="B29" s="36" t="s">
        <v>67</v>
      </c>
      <c r="G29" s="31"/>
      <c r="H29" s="31"/>
      <c r="I29" s="31"/>
      <c r="J29" s="31"/>
      <c r="K29" s="31"/>
      <c r="L29" s="80"/>
      <c r="M29" s="80"/>
      <c r="N29" s="80"/>
      <c r="O29" s="80"/>
      <c r="P29" s="80"/>
      <c r="Q29" s="80"/>
      <c r="R29" s="80"/>
      <c r="S29" s="80"/>
      <c r="T29" s="80"/>
      <c r="U29" s="80"/>
    </row>
    <row r="30" ht="15.75" customHeight="1">
      <c r="C30" s="19" t="s">
        <v>279</v>
      </c>
      <c r="G30" s="53" t="n">
        <f>Forecasts!G42/Forecasts!G41</f>
        <v>0.20062251074857684</v>
      </c>
      <c r="H30" s="53" t="n">
        <f>Forecasts!H42/Forecasts!H41</f>
        <v>0.20247825119760632</v>
      </c>
      <c r="I30" s="53" t="n">
        <f>Forecasts!I42/Forecasts!I41</f>
        <v>0.21524394734247237</v>
      </c>
      <c r="J30" s="53" t="n">
        <f>Forecasts!J42/Forecasts!J41</f>
        <v>0.192192406810958</v>
      </c>
      <c r="K30" s="53" t="n">
        <f>Forecasts!K42/Forecasts!K41</f>
        <v>0.22490362879094414</v>
      </c>
      <c r="L30" s="76">
        <v>0.22500000000000001</v>
      </c>
      <c r="M30" s="76">
        <v>0.22500000000000001</v>
      </c>
      <c r="N30" s="76">
        <v>0.22500000000000001</v>
      </c>
      <c r="O30" s="76">
        <v>0.22500000000000001</v>
      </c>
      <c r="P30" s="76">
        <v>0.22500000000000001</v>
      </c>
      <c r="Q30" s="76">
        <v>0.22500000000000001</v>
      </c>
      <c r="R30" s="76">
        <v>0.22500000000000001</v>
      </c>
      <c r="S30" s="76">
        <v>0.22500000000000001</v>
      </c>
      <c r="T30" s="76">
        <v>0.22500000000000001</v>
      </c>
      <c r="U30" s="76">
        <v>0.22500000000000001</v>
      </c>
    </row>
    <row r="31" ht="15.75" customHeight="1">
      <c r="B31" s="36" t="s">
        <v>105</v>
      </c>
      <c r="G31" s="31"/>
      <c r="H31" s="31"/>
      <c r="I31" s="31"/>
      <c r="J31" s="31"/>
      <c r="K31" s="31"/>
      <c r="L31" s="80"/>
      <c r="M31" s="80"/>
      <c r="N31" s="80"/>
      <c r="O31" s="80"/>
      <c r="P31" s="80"/>
      <c r="Q31" s="80"/>
      <c r="R31" s="80"/>
      <c r="S31" s="80"/>
      <c r="T31" s="80"/>
      <c r="U31" s="80"/>
    </row>
    <row r="32" ht="15.75" customHeight="1">
      <c r="B32" s="36" t="s">
        <v>68</v>
      </c>
      <c r="G32" s="25" t="n">
        <f>'Historical Income Statement'!G18</f>
        <v>33257</v>
      </c>
      <c r="H32" s="25" t="n">
        <f>'Historical Income Statement'!H18</f>
        <v>49616</v>
      </c>
      <c r="I32" s="25" t="n">
        <f>'Historical Income Statement'!I18</f>
        <v>15015</v>
      </c>
      <c r="J32" s="25" t="n">
        <f>'Historical Income Statement'!J18</f>
        <v>-1205</v>
      </c>
      <c r="K32" s="25" t="n">
        <f>'Historical Income Statement'!K18</f>
        <v>46081</v>
      </c>
      <c r="L32" s="81">
        <v>35000</v>
      </c>
      <c r="M32" s="81">
        <v>32000</v>
      </c>
      <c r="N32" s="81">
        <v>30000</v>
      </c>
      <c r="O32" s="81">
        <v>28000</v>
      </c>
      <c r="P32" s="81">
        <v>25000</v>
      </c>
      <c r="Q32" s="81">
        <v>24000</v>
      </c>
      <c r="R32" s="82">
        <v>23000</v>
      </c>
      <c r="S32" s="81">
        <v>22000</v>
      </c>
      <c r="T32" s="81">
        <v>21000</v>
      </c>
      <c r="U32" s="81">
        <v>20000</v>
      </c>
    </row>
    <row r="34">
      <c r="U34" s="140" t="s">
        <v>49</v>
      </c>
    </row>
    <row r="35" ht="15.75" customHeight="1">
      <c r="B35" s="71" t="s">
        <v>280</v>
      </c>
      <c r="C35" s="72"/>
      <c r="D35" s="72"/>
      <c r="E35" s="72"/>
      <c r="F35" s="72"/>
      <c r="G35" s="18"/>
      <c r="H35" s="18"/>
      <c r="I35" s="18"/>
      <c r="J35" s="18"/>
      <c r="K35" s="18"/>
      <c r="L35" s="73" t="s">
        <v>257</v>
      </c>
      <c r="M35" s="73" t="s">
        <v>258</v>
      </c>
      <c r="N35" s="73" t="s">
        <v>259</v>
      </c>
      <c r="O35" s="73" t="s">
        <v>260</v>
      </c>
      <c r="P35" s="73" t="s">
        <v>261</v>
      </c>
      <c r="Q35" s="73" t="s">
        <v>262</v>
      </c>
      <c r="R35" s="73" t="s">
        <v>263</v>
      </c>
      <c r="S35" s="73" t="s">
        <v>264</v>
      </c>
      <c r="T35" s="73" t="s">
        <v>265</v>
      </c>
      <c r="U35" s="73" t="s">
        <v>266</v>
      </c>
    </row>
    <row r="36" ht="15.75" customHeight="1">
      <c r="B36" s="36" t="s">
        <v>267</v>
      </c>
      <c r="C36" s="19"/>
      <c r="G36" s="20"/>
      <c r="H36" s="20"/>
      <c r="I36" s="20"/>
      <c r="J36" s="20"/>
      <c r="K36" s="20"/>
      <c r="L36" s="74"/>
      <c r="M36" s="74"/>
      <c r="N36" s="74"/>
      <c r="O36" s="74"/>
      <c r="P36" s="74"/>
      <c r="Q36" s="74"/>
      <c r="R36" s="74"/>
      <c r="S36" s="74"/>
      <c r="T36" s="74"/>
      <c r="U36" s="74"/>
    </row>
    <row r="37" ht="15.75" customHeight="1">
      <c r="B37" s="12"/>
      <c r="C37" s="19" t="s">
        <v>147</v>
      </c>
      <c r="G37" s="20"/>
      <c r="H37" s="83"/>
      <c r="I37" s="83"/>
      <c r="J37" s="83"/>
      <c r="K37" s="83"/>
      <c r="L37" s="76">
        <v>0.06</v>
      </c>
      <c r="M37" s="76">
        <v>6.5000000000000002E-2</v>
      </c>
      <c r="N37" s="76">
        <v>6.5000000000000002E-2</v>
      </c>
      <c r="O37" s="76">
        <v>0.06</v>
      </c>
      <c r="P37" s="76">
        <v>5.5E-2</v>
      </c>
      <c r="Q37" s="76">
        <v>0.05</v>
      </c>
      <c r="R37" s="77">
        <v>4.4999999999999998E-2</v>
      </c>
      <c r="S37" s="76">
        <v>0.04</v>
      </c>
      <c r="T37" s="76">
        <v>3.5000000000000003E-2</v>
      </c>
      <c r="U37" s="76">
        <v>0.03</v>
      </c>
    </row>
    <row r="38" ht="15.75" customHeight="1">
      <c r="C38" s="19" t="s">
        <v>148</v>
      </c>
      <c r="G38" s="20"/>
      <c r="H38" s="83"/>
      <c r="I38" s="83"/>
      <c r="J38" s="83"/>
      <c r="K38" s="83"/>
      <c r="L38" s="76">
        <v>0.12</v>
      </c>
      <c r="M38" s="76">
        <v>0.11</v>
      </c>
      <c r="N38" s="76">
        <v>0.1</v>
      </c>
      <c r="O38" s="76">
        <v>0.1</v>
      </c>
      <c r="P38" s="76">
        <v>0.09</v>
      </c>
      <c r="Q38" s="76">
        <v>8.5000000000000006E-2</v>
      </c>
      <c r="R38" s="77">
        <v>0.08</v>
      </c>
      <c r="S38" s="76">
        <v>7.0000000000000007E-2</v>
      </c>
      <c r="T38" s="76">
        <v>0.06</v>
      </c>
      <c r="U38" s="76">
        <v>0.06</v>
      </c>
    </row>
    <row r="39" ht="15.75" customHeight="1">
      <c r="B39" s="12"/>
      <c r="C39" s="19" t="s">
        <v>152</v>
      </c>
      <c r="G39" s="20"/>
      <c r="H39" s="83"/>
      <c r="I39" s="83"/>
      <c r="J39" s="83"/>
      <c r="K39" s="83"/>
      <c r="L39" s="76">
        <v>0.05</v>
      </c>
      <c r="M39" s="76">
        <v>0.05</v>
      </c>
      <c r="N39" s="76">
        <v>0.05</v>
      </c>
      <c r="O39" s="76">
        <v>0.05</v>
      </c>
      <c r="P39" s="76">
        <v>0.05</v>
      </c>
      <c r="Q39" s="76">
        <v>4.4999999999999998E-2</v>
      </c>
      <c r="R39" s="77">
        <v>0.04</v>
      </c>
      <c r="S39" s="76">
        <v>0.04</v>
      </c>
      <c r="T39" s="76">
        <v>3.5000000000000003E-2</v>
      </c>
      <c r="U39" s="76">
        <v>3.5000000000000003E-2</v>
      </c>
    </row>
    <row r="40" ht="15.75" customHeight="1">
      <c r="L40" s="78"/>
      <c r="M40" s="78"/>
      <c r="N40" s="78"/>
      <c r="O40" s="78"/>
      <c r="P40" s="78"/>
      <c r="Q40" s="78"/>
      <c r="R40" s="78"/>
      <c r="S40" s="78"/>
      <c r="T40" s="78"/>
      <c r="U40" s="78"/>
    </row>
    <row r="41" ht="15.75" customHeight="1">
      <c r="B41" s="36" t="s">
        <v>268</v>
      </c>
      <c r="C41" s="19"/>
      <c r="G41" s="70"/>
      <c r="H41" s="84"/>
      <c r="I41" s="84"/>
      <c r="J41" s="84"/>
      <c r="K41" s="84"/>
      <c r="L41" s="78">
        <v>5.0000000000000001E-3</v>
      </c>
      <c r="M41" s="78">
        <v>5.0000000000000001E-3</v>
      </c>
      <c r="N41" s="78">
        <v>5.0000000000000001E-3</v>
      </c>
      <c r="O41" s="78">
        <v>5.0000000000000001E-3</v>
      </c>
      <c r="P41" s="78">
        <v>5.0000000000000001E-3</v>
      </c>
      <c r="Q41" s="78">
        <v>5.0000000000000001E-3</v>
      </c>
      <c r="R41" s="79">
        <v>5.0000000000000001E-3</v>
      </c>
      <c r="S41" s="78">
        <v>5.0000000000000001E-3</v>
      </c>
      <c r="T41" s="78">
        <v>5.0000000000000001E-3</v>
      </c>
      <c r="U41" s="78">
        <v>5.0000000000000001E-3</v>
      </c>
    </row>
    <row r="42" ht="15.75" customHeight="1">
      <c r="L42" s="76"/>
      <c r="M42" s="76"/>
      <c r="N42" s="76"/>
      <c r="O42" s="76"/>
      <c r="P42" s="76"/>
      <c r="Q42" s="76"/>
      <c r="R42" s="76"/>
      <c r="S42" s="76"/>
      <c r="T42" s="76"/>
      <c r="U42" s="76"/>
    </row>
    <row r="43" ht="15.75" customHeight="1">
      <c r="B43" s="36" t="s">
        <v>269</v>
      </c>
      <c r="L43" s="76"/>
      <c r="M43" s="76"/>
      <c r="N43" s="76"/>
      <c r="O43" s="76"/>
      <c r="P43" s="76"/>
      <c r="Q43" s="76"/>
      <c r="R43" s="76"/>
      <c r="S43" s="76"/>
      <c r="T43" s="76"/>
      <c r="U43" s="76"/>
    </row>
    <row r="44" ht="15.75" customHeight="1">
      <c r="C44" s="19" t="s">
        <v>230</v>
      </c>
      <c r="G44" s="83"/>
      <c r="H44" s="83"/>
      <c r="I44" s="83"/>
      <c r="J44" s="83"/>
      <c r="K44" s="83"/>
      <c r="L44" s="76">
        <v>0.47499999999999998</v>
      </c>
      <c r="M44" s="76">
        <v>0.47399999999999998</v>
      </c>
      <c r="N44" s="76">
        <v>0.47299999999999998</v>
      </c>
      <c r="O44" s="76">
        <v>0.47199999999999998</v>
      </c>
      <c r="P44" s="76">
        <v>0.47099999999999997</v>
      </c>
      <c r="Q44" s="76">
        <v>0.47099999999999997</v>
      </c>
      <c r="R44" s="77">
        <v>0.47099999999999997</v>
      </c>
      <c r="S44" s="76">
        <v>0.47099999999999997</v>
      </c>
      <c r="T44" s="76">
        <v>0.47099999999999997</v>
      </c>
      <c r="U44" s="76">
        <v>0.47099999999999997</v>
      </c>
    </row>
    <row r="45" ht="15.75" customHeight="1">
      <c r="B45" s="36"/>
      <c r="C45" s="19" t="s">
        <v>160</v>
      </c>
      <c r="G45" s="83"/>
      <c r="H45" s="83"/>
      <c r="I45" s="83"/>
      <c r="J45" s="83"/>
      <c r="K45" s="83"/>
      <c r="L45" s="76">
        <v>0.05</v>
      </c>
      <c r="M45" s="76">
        <v>0.05</v>
      </c>
      <c r="N45" s="76">
        <v>0.05</v>
      </c>
      <c r="O45" s="76">
        <v>0.05</v>
      </c>
      <c r="P45" s="76">
        <v>0.05</v>
      </c>
      <c r="Q45" s="76">
        <v>0.05</v>
      </c>
      <c r="R45" s="77">
        <v>0.05</v>
      </c>
      <c r="S45" s="76">
        <v>0.05</v>
      </c>
      <c r="T45" s="76">
        <v>0.05</v>
      </c>
      <c r="U45" s="76">
        <v>0.05</v>
      </c>
    </row>
    <row r="46" ht="15.75" customHeight="1">
      <c r="C46" s="19" t="s">
        <v>161</v>
      </c>
      <c r="G46" s="83"/>
      <c r="H46" s="83"/>
      <c r="I46" s="83"/>
      <c r="J46" s="83"/>
      <c r="K46" s="83"/>
      <c r="L46" s="76">
        <v>4.1000000000000002E-2</v>
      </c>
      <c r="M46" s="76">
        <v>4.1000000000000002E-2</v>
      </c>
      <c r="N46" s="76">
        <v>4.1000000000000002E-2</v>
      </c>
      <c r="O46" s="76">
        <v>4.1000000000000002E-2</v>
      </c>
      <c r="P46" s="76">
        <v>4.1000000000000002E-2</v>
      </c>
      <c r="Q46" s="76">
        <v>4.1000000000000002E-2</v>
      </c>
      <c r="R46" s="77">
        <v>4.1000000000000002E-2</v>
      </c>
      <c r="S46" s="76">
        <v>4.1000000000000002E-2</v>
      </c>
      <c r="T46" s="76">
        <v>4.1000000000000002E-2</v>
      </c>
      <c r="U46" s="76">
        <v>4.1000000000000002E-2</v>
      </c>
    </row>
    <row r="47" ht="15.75" customHeight="1">
      <c r="B47" s="36" t="s">
        <v>270</v>
      </c>
      <c r="C47" s="19"/>
      <c r="G47" s="20"/>
      <c r="H47" s="20"/>
      <c r="I47" s="20"/>
      <c r="J47" s="20"/>
      <c r="K47" s="20"/>
      <c r="L47" s="76"/>
      <c r="M47" s="76"/>
      <c r="N47" s="76"/>
      <c r="O47" s="76"/>
      <c r="P47" s="76"/>
      <c r="Q47" s="76"/>
      <c r="R47" s="76"/>
      <c r="S47" s="76"/>
      <c r="T47" s="76"/>
      <c r="U47" s="76"/>
    </row>
    <row r="48" ht="15.75" customHeight="1">
      <c r="C48" s="19" t="s">
        <v>271</v>
      </c>
      <c r="G48" s="20"/>
      <c r="H48" s="84"/>
      <c r="I48" s="84"/>
      <c r="J48" s="84"/>
      <c r="K48" s="84"/>
      <c r="L48" s="76">
        <v>0.05</v>
      </c>
      <c r="M48" s="76">
        <v>0.05</v>
      </c>
      <c r="N48" s="76">
        <v>0.05</v>
      </c>
      <c r="O48" s="76">
        <v>0.05</v>
      </c>
      <c r="P48" s="76">
        <v>0.05</v>
      </c>
      <c r="Q48" s="76">
        <v>0.05</v>
      </c>
      <c r="R48" s="76">
        <v>0.05</v>
      </c>
      <c r="S48" s="76">
        <v>0.05</v>
      </c>
      <c r="T48" s="76">
        <v>0.05</v>
      </c>
      <c r="U48" s="76">
        <v>0.05</v>
      </c>
    </row>
    <row r="49" ht="15.75" customHeight="1">
      <c r="C49" s="19" t="s">
        <v>272</v>
      </c>
      <c r="H49" s="84"/>
      <c r="I49" s="84"/>
      <c r="J49" s="84"/>
      <c r="K49" s="84"/>
      <c r="L49" s="76">
        <v>7.0000000000000007E-2</v>
      </c>
      <c r="M49" s="76">
        <v>7.0000000000000007E-2</v>
      </c>
      <c r="N49" s="76">
        <v>7.0000000000000007E-2</v>
      </c>
      <c r="O49" s="76">
        <v>7.0000000000000007E-2</v>
      </c>
      <c r="P49" s="76">
        <v>7.0000000000000007E-2</v>
      </c>
      <c r="Q49" s="76">
        <v>7.0000000000000007E-2</v>
      </c>
      <c r="R49" s="76">
        <v>7.0000000000000007E-2</v>
      </c>
      <c r="S49" s="76">
        <v>7.0000000000000007E-2</v>
      </c>
      <c r="T49" s="76">
        <v>7.0000000000000007E-2</v>
      </c>
      <c r="U49" s="76">
        <v>7.0000000000000007E-2</v>
      </c>
    </row>
    <row r="50" ht="15.75" customHeight="1">
      <c r="B50" s="36" t="s">
        <v>273</v>
      </c>
      <c r="L50" s="76"/>
      <c r="M50" s="76"/>
      <c r="N50" s="76"/>
      <c r="O50" s="76"/>
      <c r="P50" s="76"/>
      <c r="Q50" s="76"/>
      <c r="R50" s="76"/>
      <c r="S50" s="76"/>
      <c r="T50" s="76"/>
      <c r="U50" s="76"/>
    </row>
    <row r="51" ht="15.75" customHeight="1">
      <c r="C51" s="19" t="s">
        <v>274</v>
      </c>
      <c r="G51" s="83"/>
      <c r="H51" s="83"/>
      <c r="I51" s="83"/>
      <c r="J51" s="83"/>
      <c r="K51" s="83"/>
      <c r="L51" s="78">
        <v>4.0000000000000001E-3</v>
      </c>
      <c r="M51" s="78">
        <v>4.0000000000000001E-3</v>
      </c>
      <c r="N51" s="78">
        <v>4.0000000000000001E-3</v>
      </c>
      <c r="O51" s="78">
        <v>4.0000000000000001E-3</v>
      </c>
      <c r="P51" s="78">
        <v>4.0000000000000001E-3</v>
      </c>
      <c r="Q51" s="78">
        <v>4.0000000000000001E-3</v>
      </c>
      <c r="R51" s="78">
        <v>4.0000000000000001E-3</v>
      </c>
      <c r="S51" s="78">
        <v>4.0000000000000001E-3</v>
      </c>
      <c r="T51" s="78">
        <v>4.0000000000000001E-3</v>
      </c>
      <c r="U51" s="78">
        <v>4.0000000000000001E-3</v>
      </c>
    </row>
    <row r="52" ht="15.75" customHeight="1">
      <c r="C52" s="19" t="s">
        <v>275</v>
      </c>
      <c r="H52" s="84"/>
      <c r="I52" s="84"/>
      <c r="J52" s="84"/>
      <c r="K52" s="84"/>
      <c r="L52" s="76">
        <v>7.0000000000000007E-2</v>
      </c>
      <c r="M52" s="76">
        <v>7.0000000000000007E-2</v>
      </c>
      <c r="N52" s="76">
        <v>7.0000000000000007E-2</v>
      </c>
      <c r="O52" s="76">
        <v>7.0000000000000007E-2</v>
      </c>
      <c r="P52" s="76">
        <v>7.0000000000000007E-2</v>
      </c>
      <c r="Q52" s="76">
        <v>7.0000000000000007E-2</v>
      </c>
      <c r="R52" s="76">
        <v>7.0000000000000007E-2</v>
      </c>
      <c r="S52" s="76">
        <v>7.0000000000000007E-2</v>
      </c>
      <c r="T52" s="76">
        <v>7.0000000000000007E-2</v>
      </c>
      <c r="U52" s="76">
        <v>7.0000000000000007E-2</v>
      </c>
    </row>
    <row r="53" ht="15.75" customHeight="1">
      <c r="B53" s="36" t="s">
        <v>276</v>
      </c>
      <c r="L53" s="81"/>
      <c r="M53" s="81"/>
      <c r="N53" s="81"/>
      <c r="O53" s="81"/>
      <c r="P53" s="81"/>
      <c r="Q53" s="81"/>
      <c r="R53" s="81"/>
      <c r="S53" s="81"/>
      <c r="T53" s="81"/>
      <c r="U53" s="81"/>
    </row>
    <row r="54" ht="15.75" customHeight="1">
      <c r="B54" s="36" t="s">
        <v>277</v>
      </c>
      <c r="G54" s="70"/>
      <c r="H54" s="70"/>
      <c r="I54" s="70"/>
      <c r="J54" s="70"/>
      <c r="K54" s="70"/>
      <c r="L54" s="80"/>
      <c r="M54" s="80"/>
      <c r="N54" s="80"/>
      <c r="O54" s="80"/>
      <c r="P54" s="80"/>
      <c r="Q54" s="80"/>
      <c r="R54" s="80"/>
      <c r="S54" s="80"/>
      <c r="T54" s="80"/>
      <c r="U54" s="80"/>
    </row>
    <row r="55" ht="15.75" customHeight="1">
      <c r="C55" s="19" t="s">
        <v>278</v>
      </c>
      <c r="H55" s="83"/>
      <c r="I55" s="83"/>
      <c r="J55" s="83"/>
      <c r="K55" s="83"/>
      <c r="L55" s="76">
        <v>0.08</v>
      </c>
      <c r="M55" s="76">
        <v>0.08</v>
      </c>
      <c r="N55" s="76">
        <v>7.0000000000000007E-2</v>
      </c>
      <c r="O55" s="76">
        <v>0.06</v>
      </c>
      <c r="P55" s="76">
        <v>0.05</v>
      </c>
      <c r="Q55" s="76">
        <v>0.05</v>
      </c>
      <c r="R55" s="76">
        <v>0.05</v>
      </c>
      <c r="S55" s="76">
        <v>0.05</v>
      </c>
      <c r="T55" s="76">
        <v>0.05</v>
      </c>
      <c r="U55" s="76">
        <v>0.05</v>
      </c>
    </row>
    <row r="56" ht="15.75" customHeight="1">
      <c r="B56" s="36" t="s">
        <v>67</v>
      </c>
      <c r="G56" s="70"/>
      <c r="H56" s="70"/>
      <c r="I56" s="70"/>
      <c r="J56" s="70"/>
      <c r="K56" s="70"/>
      <c r="L56" s="80"/>
      <c r="M56" s="80"/>
      <c r="N56" s="80"/>
      <c r="O56" s="80"/>
      <c r="P56" s="80"/>
      <c r="Q56" s="80"/>
      <c r="R56" s="80"/>
      <c r="S56" s="80"/>
      <c r="T56" s="80"/>
      <c r="U56" s="80"/>
    </row>
    <row r="57" ht="15.75" customHeight="1">
      <c r="C57" s="19" t="s">
        <v>279</v>
      </c>
      <c r="G57" s="84"/>
      <c r="H57" s="84"/>
      <c r="I57" s="84"/>
      <c r="J57" s="84"/>
      <c r="K57" s="84"/>
      <c r="L57" s="76">
        <v>0.22</v>
      </c>
      <c r="M57" s="76">
        <v>0.22</v>
      </c>
      <c r="N57" s="76">
        <v>0.22</v>
      </c>
      <c r="O57" s="76">
        <v>0.22</v>
      </c>
      <c r="P57" s="76">
        <v>0.22</v>
      </c>
      <c r="Q57" s="76">
        <v>0.22</v>
      </c>
      <c r="R57" s="76">
        <v>0.22</v>
      </c>
      <c r="S57" s="76">
        <v>0.22</v>
      </c>
      <c r="T57" s="76">
        <v>0.22</v>
      </c>
      <c r="U57" s="76">
        <v>0.22</v>
      </c>
    </row>
    <row r="58" ht="15.75" customHeight="1">
      <c r="B58" s="36" t="s">
        <v>105</v>
      </c>
      <c r="G58" s="70"/>
      <c r="H58" s="70"/>
      <c r="I58" s="70"/>
      <c r="J58" s="70"/>
      <c r="K58" s="70"/>
      <c r="L58" s="80"/>
      <c r="M58" s="80"/>
      <c r="N58" s="80"/>
      <c r="O58" s="80"/>
      <c r="P58" s="80"/>
      <c r="Q58" s="80"/>
      <c r="R58" s="80"/>
      <c r="S58" s="80"/>
      <c r="T58" s="80"/>
      <c r="U58" s="80"/>
    </row>
    <row r="59" ht="15.75" customHeight="1">
      <c r="B59" s="36" t="s">
        <v>68</v>
      </c>
      <c r="L59" s="81">
        <v>30000</v>
      </c>
      <c r="M59" s="81">
        <v>27000</v>
      </c>
      <c r="N59" s="81">
        <v>25000</v>
      </c>
      <c r="O59" s="81">
        <v>23000</v>
      </c>
      <c r="P59" s="81">
        <v>20000</v>
      </c>
      <c r="Q59" s="81">
        <v>19000</v>
      </c>
      <c r="R59" s="82">
        <v>18000</v>
      </c>
      <c r="S59" s="81">
        <v>17000</v>
      </c>
      <c r="T59" s="81">
        <v>16000</v>
      </c>
      <c r="U59" s="81">
        <v>15000</v>
      </c>
    </row>
    <row r="61">
      <c r="U61" s="140" t="s">
        <v>49</v>
      </c>
    </row>
    <row r="62" ht="15.75" customHeight="1">
      <c r="B62" s="71" t="s">
        <v>281</v>
      </c>
      <c r="C62" s="72"/>
      <c r="D62" s="72"/>
      <c r="E62" s="72"/>
      <c r="F62" s="72"/>
      <c r="G62" s="18"/>
      <c r="H62" s="18"/>
      <c r="I62" s="18"/>
      <c r="J62" s="18"/>
      <c r="K62" s="18"/>
      <c r="L62" s="73" t="s">
        <v>257</v>
      </c>
      <c r="M62" s="73" t="s">
        <v>258</v>
      </c>
      <c r="N62" s="73" t="s">
        <v>259</v>
      </c>
      <c r="O62" s="73" t="s">
        <v>260</v>
      </c>
      <c r="P62" s="73" t="s">
        <v>261</v>
      </c>
      <c r="Q62" s="73" t="s">
        <v>262</v>
      </c>
      <c r="R62" s="73" t="s">
        <v>263</v>
      </c>
      <c r="S62" s="73" t="s">
        <v>264</v>
      </c>
      <c r="T62" s="73" t="s">
        <v>265</v>
      </c>
      <c r="U62" s="73" t="s">
        <v>266</v>
      </c>
    </row>
    <row r="63" ht="15.75" customHeight="1">
      <c r="B63" s="36" t="s">
        <v>267</v>
      </c>
      <c r="C63" s="19"/>
      <c r="G63" s="20"/>
      <c r="H63" s="20"/>
      <c r="I63" s="20"/>
      <c r="J63" s="20"/>
      <c r="K63" s="20"/>
      <c r="L63" s="74"/>
      <c r="M63" s="74"/>
      <c r="N63" s="74"/>
      <c r="O63" s="74"/>
      <c r="P63" s="74"/>
      <c r="Q63" s="74"/>
      <c r="R63" s="74"/>
      <c r="S63" s="74"/>
      <c r="T63" s="74"/>
      <c r="U63" s="74"/>
    </row>
    <row r="64" ht="15.75" customHeight="1">
      <c r="B64" s="12"/>
      <c r="C64" s="19" t="s">
        <v>147</v>
      </c>
      <c r="G64" s="20"/>
      <c r="H64" s="83"/>
      <c r="I64" s="83"/>
      <c r="J64" s="83"/>
      <c r="K64" s="83"/>
      <c r="L64" s="76">
        <v>0.03</v>
      </c>
      <c r="M64" s="76">
        <v>0.03</v>
      </c>
      <c r="N64" s="76">
        <v>0.03</v>
      </c>
      <c r="O64" s="76">
        <v>0.03</v>
      </c>
      <c r="P64" s="76">
        <v>2.5000000000000001E-2</v>
      </c>
      <c r="Q64" s="76">
        <v>0.02</v>
      </c>
      <c r="R64" s="77">
        <v>0.02</v>
      </c>
      <c r="S64" s="76">
        <v>0.02</v>
      </c>
      <c r="T64" s="76">
        <v>0.02</v>
      </c>
      <c r="U64" s="76">
        <v>0.02</v>
      </c>
    </row>
    <row r="65" ht="15.75" customHeight="1">
      <c r="C65" s="19" t="s">
        <v>148</v>
      </c>
      <c r="G65" s="20"/>
      <c r="H65" s="83"/>
      <c r="I65" s="83"/>
      <c r="J65" s="83"/>
      <c r="K65" s="83"/>
      <c r="L65" s="76">
        <v>0.08</v>
      </c>
      <c r="M65" s="76">
        <v>7.4999999999999997E-2</v>
      </c>
      <c r="N65" s="76">
        <v>7.0000000000000007E-2</v>
      </c>
      <c r="O65" s="76">
        <v>0.06</v>
      </c>
      <c r="P65" s="76">
        <v>0.06</v>
      </c>
      <c r="Q65" s="76">
        <v>5.5E-2</v>
      </c>
      <c r="R65" s="77">
        <v>0.05</v>
      </c>
      <c r="S65" s="76">
        <v>0.05</v>
      </c>
      <c r="T65" s="76">
        <v>0.05</v>
      </c>
      <c r="U65" s="76">
        <v>0.05</v>
      </c>
    </row>
    <row r="66" ht="15.75" customHeight="1">
      <c r="B66" s="12"/>
      <c r="C66" s="19" t="s">
        <v>152</v>
      </c>
      <c r="G66" s="20"/>
      <c r="H66" s="83"/>
      <c r="I66" s="83"/>
      <c r="J66" s="83"/>
      <c r="K66" s="83"/>
      <c r="L66" s="76">
        <v>0.03</v>
      </c>
      <c r="M66" s="76">
        <v>0.03</v>
      </c>
      <c r="N66" s="76">
        <v>0.03</v>
      </c>
      <c r="O66" s="76">
        <v>2.5000000000000001E-2</v>
      </c>
      <c r="P66" s="76">
        <v>2.5000000000000001E-2</v>
      </c>
      <c r="Q66" s="76">
        <v>2.5000000000000001E-2</v>
      </c>
      <c r="R66" s="76">
        <v>2.5000000000000001E-2</v>
      </c>
      <c r="S66" s="76">
        <v>0.02</v>
      </c>
      <c r="T66" s="76">
        <v>0.02</v>
      </c>
      <c r="U66" s="76">
        <v>0.02</v>
      </c>
    </row>
    <row r="67" ht="15.75" customHeight="1">
      <c r="L67" s="74"/>
      <c r="M67" s="74"/>
      <c r="N67" s="74"/>
      <c r="O67" s="74"/>
      <c r="P67" s="74"/>
      <c r="Q67" s="74"/>
      <c r="R67" s="74"/>
      <c r="S67" s="74"/>
      <c r="T67" s="74"/>
      <c r="U67" s="74"/>
    </row>
    <row r="68" ht="15.75" customHeight="1">
      <c r="B68" s="36" t="s">
        <v>268</v>
      </c>
      <c r="C68" s="19"/>
      <c r="G68" s="70"/>
      <c r="H68" s="84"/>
      <c r="I68" s="84"/>
      <c r="J68" s="84"/>
      <c r="K68" s="84"/>
      <c r="L68" s="78">
        <v>0</v>
      </c>
      <c r="M68" s="78">
        <v>0</v>
      </c>
      <c r="N68" s="78">
        <v>0</v>
      </c>
      <c r="O68" s="78">
        <v>0</v>
      </c>
      <c r="P68" s="78">
        <v>0</v>
      </c>
      <c r="Q68" s="78">
        <v>0</v>
      </c>
      <c r="R68" s="78">
        <v>0</v>
      </c>
      <c r="S68" s="78">
        <v>0</v>
      </c>
      <c r="T68" s="78">
        <v>0</v>
      </c>
      <c r="U68" s="78">
        <v>0</v>
      </c>
    </row>
    <row r="69" ht="15.75" customHeight="1">
      <c r="L69" s="74"/>
      <c r="M69" s="74"/>
      <c r="N69" s="74"/>
      <c r="O69" s="74"/>
      <c r="P69" s="74"/>
      <c r="Q69" s="74"/>
      <c r="R69" s="74"/>
      <c r="S69" s="74"/>
      <c r="T69" s="74"/>
      <c r="U69" s="74"/>
    </row>
    <row r="70" ht="15.75" customHeight="1">
      <c r="B70" s="36" t="s">
        <v>269</v>
      </c>
      <c r="L70" s="85"/>
      <c r="M70" s="85"/>
      <c r="N70" s="85"/>
      <c r="O70" s="85"/>
      <c r="P70" s="85"/>
      <c r="Q70" s="85"/>
      <c r="R70" s="85"/>
      <c r="S70" s="85"/>
      <c r="T70" s="85"/>
      <c r="U70" s="85"/>
    </row>
    <row r="71" ht="15.75" customHeight="1">
      <c r="C71" s="19" t="s">
        <v>230</v>
      </c>
      <c r="G71" s="83"/>
      <c r="H71" s="83"/>
      <c r="I71" s="83"/>
      <c r="J71" s="83"/>
      <c r="K71" s="83"/>
      <c r="L71" s="76">
        <v>0.48499999999999999</v>
      </c>
      <c r="M71" s="76">
        <v>0.48399999999999999</v>
      </c>
      <c r="N71" s="76">
        <v>0.48299999999999998</v>
      </c>
      <c r="O71" s="76">
        <v>0.48199999999999998</v>
      </c>
      <c r="P71" s="76">
        <v>0.48099999999999998</v>
      </c>
      <c r="Q71" s="76">
        <v>0.48099999999999998</v>
      </c>
      <c r="R71" s="77">
        <v>0.48099999999999998</v>
      </c>
      <c r="S71" s="76">
        <v>0.48099999999999998</v>
      </c>
      <c r="T71" s="76">
        <v>0.48099999999999998</v>
      </c>
      <c r="U71" s="76">
        <v>0.48099999999999998</v>
      </c>
    </row>
    <row r="72" ht="15.75" customHeight="1">
      <c r="B72" s="36"/>
      <c r="C72" s="19" t="s">
        <v>160</v>
      </c>
      <c r="G72" s="83"/>
      <c r="H72" s="83"/>
      <c r="I72" s="83"/>
      <c r="J72" s="83"/>
      <c r="K72" s="83"/>
      <c r="L72" s="76">
        <v>5.2999999999999999E-2</v>
      </c>
      <c r="M72" s="76">
        <v>5.2999999999999999E-2</v>
      </c>
      <c r="N72" s="76">
        <v>5.2999999999999999E-2</v>
      </c>
      <c r="O72" s="76">
        <v>5.2999999999999999E-2</v>
      </c>
      <c r="P72" s="76">
        <v>5.2999999999999999E-2</v>
      </c>
      <c r="Q72" s="76">
        <v>5.2999999999999999E-2</v>
      </c>
      <c r="R72" s="77">
        <v>5.2999999999999999E-2</v>
      </c>
      <c r="S72" s="76">
        <v>5.2999999999999999E-2</v>
      </c>
      <c r="T72" s="76">
        <v>5.2999999999999999E-2</v>
      </c>
      <c r="U72" s="76">
        <v>5.2999999999999999E-2</v>
      </c>
    </row>
    <row r="73" ht="15.75" customHeight="1">
      <c r="C73" s="19" t="s">
        <v>161</v>
      </c>
      <c r="G73" s="83"/>
      <c r="H73" s="83"/>
      <c r="I73" s="83"/>
      <c r="J73" s="83"/>
      <c r="K73" s="83"/>
      <c r="L73" s="76">
        <v>4.1000000000000002E-2</v>
      </c>
      <c r="M73" s="76">
        <v>4.1000000000000002E-2</v>
      </c>
      <c r="N73" s="76">
        <v>4.1000000000000002E-2</v>
      </c>
      <c r="O73" s="76">
        <v>4.1000000000000002E-2</v>
      </c>
      <c r="P73" s="76">
        <v>4.1000000000000002E-2</v>
      </c>
      <c r="Q73" s="76">
        <v>4.1000000000000002E-2</v>
      </c>
      <c r="R73" s="77">
        <v>4.1000000000000002E-2</v>
      </c>
      <c r="S73" s="76">
        <v>4.1000000000000002E-2</v>
      </c>
      <c r="T73" s="76">
        <v>4.1000000000000002E-2</v>
      </c>
      <c r="U73" s="76">
        <v>4.1000000000000002E-2</v>
      </c>
    </row>
    <row r="74" ht="15.75" customHeight="1">
      <c r="B74" s="36" t="s">
        <v>270</v>
      </c>
      <c r="C74" s="19"/>
      <c r="G74" s="20"/>
      <c r="H74" s="20"/>
      <c r="I74" s="20"/>
      <c r="J74" s="20"/>
      <c r="K74" s="20"/>
      <c r="L74" s="74"/>
      <c r="M74" s="74"/>
      <c r="N74" s="74"/>
      <c r="O74" s="74"/>
      <c r="P74" s="74"/>
      <c r="Q74" s="74"/>
      <c r="R74" s="74"/>
      <c r="S74" s="74"/>
      <c r="T74" s="74"/>
      <c r="U74" s="74"/>
    </row>
    <row r="75" ht="15.75" customHeight="1">
      <c r="C75" s="19" t="s">
        <v>271</v>
      </c>
      <c r="G75" s="20"/>
      <c r="H75" s="84"/>
      <c r="I75" s="84"/>
      <c r="J75" s="84"/>
      <c r="K75" s="84"/>
      <c r="L75" s="76">
        <v>0.06</v>
      </c>
      <c r="M75" s="76">
        <v>0.06</v>
      </c>
      <c r="N75" s="76">
        <v>0.06</v>
      </c>
      <c r="O75" s="76">
        <v>0.06</v>
      </c>
      <c r="P75" s="76">
        <v>0.06</v>
      </c>
      <c r="Q75" s="76">
        <v>0.06</v>
      </c>
      <c r="R75" s="76">
        <v>0.06</v>
      </c>
      <c r="S75" s="76">
        <v>0.06</v>
      </c>
      <c r="T75" s="76">
        <v>0.06</v>
      </c>
      <c r="U75" s="76">
        <v>0.06</v>
      </c>
    </row>
    <row r="76" ht="15.75" customHeight="1">
      <c r="C76" s="19" t="s">
        <v>272</v>
      </c>
      <c r="H76" s="84"/>
      <c r="I76" s="84"/>
      <c r="J76" s="84"/>
      <c r="K76" s="84"/>
      <c r="L76" s="76">
        <v>7.0000000000000007E-2</v>
      </c>
      <c r="M76" s="76">
        <v>7.0000000000000007E-2</v>
      </c>
      <c r="N76" s="76">
        <v>7.0000000000000007E-2</v>
      </c>
      <c r="O76" s="76">
        <v>7.0000000000000007E-2</v>
      </c>
      <c r="P76" s="76">
        <v>7.0000000000000007E-2</v>
      </c>
      <c r="Q76" s="76">
        <v>7.0000000000000007E-2</v>
      </c>
      <c r="R76" s="76">
        <v>7.0000000000000007E-2</v>
      </c>
      <c r="S76" s="76">
        <v>7.0000000000000007E-2</v>
      </c>
      <c r="T76" s="76">
        <v>7.0000000000000007E-2</v>
      </c>
      <c r="U76" s="76">
        <v>7.0000000000000007E-2</v>
      </c>
    </row>
    <row r="77" ht="15.75" customHeight="1">
      <c r="B77" s="36" t="s">
        <v>273</v>
      </c>
      <c r="L77" s="74"/>
      <c r="M77" s="74"/>
      <c r="N77" s="74"/>
      <c r="O77" s="74"/>
      <c r="P77" s="74"/>
      <c r="Q77" s="74"/>
      <c r="R77" s="74"/>
      <c r="S77" s="74"/>
      <c r="T77" s="74"/>
      <c r="U77" s="74"/>
    </row>
    <row r="78" ht="15.75" customHeight="1">
      <c r="C78" s="19" t="s">
        <v>274</v>
      </c>
      <c r="G78" s="83"/>
      <c r="H78" s="83"/>
      <c r="I78" s="83"/>
      <c r="J78" s="83"/>
      <c r="K78" s="83"/>
      <c r="L78" s="78">
        <v>5.0000000000000001E-3</v>
      </c>
      <c r="M78" s="78">
        <v>5.0000000000000001E-3</v>
      </c>
      <c r="N78" s="78">
        <v>5.0000000000000001E-3</v>
      </c>
      <c r="O78" s="78">
        <v>5.0000000000000001E-3</v>
      </c>
      <c r="P78" s="78">
        <v>5.0000000000000001E-3</v>
      </c>
      <c r="Q78" s="78">
        <v>5.0000000000000001E-3</v>
      </c>
      <c r="R78" s="78">
        <v>5.0000000000000001E-3</v>
      </c>
      <c r="S78" s="78">
        <v>5.0000000000000001E-3</v>
      </c>
      <c r="T78" s="78">
        <v>5.0000000000000001E-3</v>
      </c>
      <c r="U78" s="78">
        <v>5.0000000000000001E-3</v>
      </c>
    </row>
    <row r="79" ht="15.75" customHeight="1">
      <c r="C79" s="19" t="s">
        <v>275</v>
      </c>
      <c r="H79" s="84"/>
      <c r="I79" s="84"/>
      <c r="J79" s="84"/>
      <c r="K79" s="84"/>
      <c r="L79" s="76">
        <v>0.03</v>
      </c>
      <c r="M79" s="76">
        <v>0.03</v>
      </c>
      <c r="N79" s="76">
        <v>0.03</v>
      </c>
      <c r="O79" s="76">
        <v>0.03</v>
      </c>
      <c r="P79" s="76">
        <v>0.03</v>
      </c>
      <c r="Q79" s="76">
        <v>0.03</v>
      </c>
      <c r="R79" s="76">
        <v>0.03</v>
      </c>
      <c r="S79" s="76">
        <v>0.03</v>
      </c>
      <c r="T79" s="76">
        <v>0.03</v>
      </c>
      <c r="U79" s="76">
        <v>0.03</v>
      </c>
    </row>
    <row r="80" ht="15.75" customHeight="1">
      <c r="B80" s="36" t="s">
        <v>276</v>
      </c>
      <c r="L80" s="74"/>
      <c r="M80" s="74"/>
      <c r="N80" s="74"/>
      <c r="O80" s="74"/>
      <c r="P80" s="74"/>
      <c r="Q80" s="74"/>
      <c r="R80" s="74"/>
      <c r="S80" s="74"/>
      <c r="T80" s="74"/>
      <c r="U80" s="74"/>
    </row>
    <row r="81" ht="15.75" customHeight="1">
      <c r="B81" s="36" t="s">
        <v>277</v>
      </c>
      <c r="G81" s="70"/>
      <c r="H81" s="70"/>
      <c r="I81" s="70"/>
      <c r="J81" s="70"/>
      <c r="K81" s="70"/>
      <c r="L81" s="80"/>
      <c r="M81" s="80"/>
      <c r="N81" s="80"/>
      <c r="O81" s="80"/>
      <c r="P81" s="80"/>
      <c r="Q81" s="80"/>
      <c r="R81" s="80"/>
      <c r="S81" s="80"/>
      <c r="T81" s="80"/>
      <c r="U81" s="80"/>
    </row>
    <row r="82" ht="15.75" customHeight="1">
      <c r="C82" s="19" t="s">
        <v>278</v>
      </c>
      <c r="H82" s="83"/>
      <c r="I82" s="83"/>
      <c r="J82" s="83"/>
      <c r="K82" s="83"/>
      <c r="L82" s="76">
        <v>0.08</v>
      </c>
      <c r="M82" s="76">
        <v>0.08</v>
      </c>
      <c r="N82" s="76">
        <v>7.0000000000000007E-2</v>
      </c>
      <c r="O82" s="76">
        <v>0.06</v>
      </c>
      <c r="P82" s="76">
        <v>0.05</v>
      </c>
      <c r="Q82" s="76">
        <v>0.05</v>
      </c>
      <c r="R82" s="76">
        <v>0.05</v>
      </c>
      <c r="S82" s="76">
        <v>0.05</v>
      </c>
      <c r="T82" s="76">
        <v>0.05</v>
      </c>
      <c r="U82" s="76">
        <v>0.05</v>
      </c>
    </row>
    <row r="83" ht="15.75" customHeight="1">
      <c r="B83" s="36" t="s">
        <v>67</v>
      </c>
      <c r="G83" s="70"/>
      <c r="H83" s="70"/>
      <c r="I83" s="70"/>
      <c r="J83" s="70"/>
      <c r="K83" s="70"/>
      <c r="L83" s="80"/>
      <c r="M83" s="80"/>
      <c r="N83" s="80"/>
      <c r="O83" s="80"/>
      <c r="P83" s="80"/>
      <c r="Q83" s="80"/>
      <c r="R83" s="80"/>
      <c r="S83" s="80"/>
      <c r="T83" s="80"/>
      <c r="U83" s="80"/>
    </row>
    <row r="84" ht="15.75" customHeight="1">
      <c r="C84" s="19" t="s">
        <v>279</v>
      </c>
      <c r="G84" s="84"/>
      <c r="H84" s="84"/>
      <c r="I84" s="84"/>
      <c r="J84" s="84"/>
      <c r="K84" s="84"/>
      <c r="L84" s="76">
        <v>0.23</v>
      </c>
      <c r="M84" s="76">
        <v>0.23</v>
      </c>
      <c r="N84" s="76">
        <v>0.23</v>
      </c>
      <c r="O84" s="76">
        <v>0.23</v>
      </c>
      <c r="P84" s="76">
        <v>0.23</v>
      </c>
      <c r="Q84" s="76">
        <v>0.23</v>
      </c>
      <c r="R84" s="76">
        <v>0.23</v>
      </c>
      <c r="S84" s="76">
        <v>0.23</v>
      </c>
      <c r="T84" s="76">
        <v>0.23</v>
      </c>
      <c r="U84" s="76">
        <v>0.23</v>
      </c>
    </row>
    <row r="85" ht="15.75" customHeight="1">
      <c r="B85" s="36" t="s">
        <v>105</v>
      </c>
      <c r="G85" s="70"/>
      <c r="H85" s="70"/>
      <c r="I85" s="70"/>
      <c r="J85" s="70"/>
      <c r="K85" s="70"/>
      <c r="L85" s="80"/>
      <c r="M85" s="80"/>
      <c r="N85" s="80"/>
      <c r="O85" s="80"/>
      <c r="P85" s="80"/>
      <c r="Q85" s="80"/>
      <c r="R85" s="80"/>
      <c r="S85" s="80"/>
      <c r="T85" s="80"/>
      <c r="U85" s="80"/>
    </row>
    <row r="86" ht="15.75" customHeight="1">
      <c r="B86" s="36" t="s">
        <v>68</v>
      </c>
      <c r="L86" s="81">
        <v>40000</v>
      </c>
      <c r="M86" s="81">
        <v>38000</v>
      </c>
      <c r="N86" s="81">
        <v>36000</v>
      </c>
      <c r="O86" s="81">
        <v>34000</v>
      </c>
      <c r="P86" s="81">
        <v>32000</v>
      </c>
      <c r="Q86" s="81">
        <v>31000</v>
      </c>
      <c r="R86" s="82">
        <v>30000</v>
      </c>
      <c r="S86" s="81">
        <v>29000</v>
      </c>
      <c r="T86" s="81">
        <v>28000</v>
      </c>
      <c r="U86" s="81">
        <v>27000</v>
      </c>
    </row>
  </sheetData>
  <mergeCells>
    <mergeCell ref="A1:Z3"/>
    <mergeCell ref="A4:G4"/>
    <mergeCell ref="H4:N4"/>
    <mergeCell ref="O4:Z4"/>
    <mergeCell ref="A5:Z5"/>
  </mergeCells>
  <pageMargins left="0.7" right="0.7" top="0.75" bottom="0.75" header="0.3" footer="0.3"/>
  <drawing r:id="R8741ffaca16b4a65"/>
</worksheet>
</file>

<file path=xl/worksheets/sheet12.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5" style="152" customWidth="0"/>
    <col min="2" max="2" width="1.6640625" style="152" customWidth="1"/>
    <col min="3" max="3" width="10.5" style="152" customWidth="0"/>
    <col min="4" max="4" width="9.5" style="152" customWidth="1"/>
    <col min="5" max="5" width="10.5" style="152" customWidth="0"/>
    <col min="6" max="6" width="23.6640625" style="152" customWidth="1"/>
    <col min="7" max="16" width="10.5" style="152" customWidth="0"/>
    <col min="17" max="17" width="12.1640625" style="152" customWidth="1"/>
    <col min="18" max="18" width="11.6640625" style="152" customWidth="1"/>
    <col min="19" max="19" width="13.33203125" style="152" customWidth="1"/>
    <col min="20" max="20" width="11.6640625" style="152" customWidth="1"/>
    <col min="21" max="21" width="12" style="152" customWidth="1"/>
    <col min="22" max="22" width="17.5" style="152" customWidth="1"/>
    <col min="23" max="25" width="10.5" style="152" customWidth="0"/>
    <col min="26" max="26" width="11" style="152" customWidth="1"/>
    <col min="27" max="16384" width="10.5" style="150" customWidth="0"/>
  </cols>
  <sheetData>
    <row r="1" ht="15.75" customHeight="1">
      <c r="A1" s="335" t="s">
        <v>282</v>
      </c>
      <c r="B1" s="335"/>
      <c r="C1" s="335"/>
      <c r="D1" s="335"/>
      <c r="E1" s="335"/>
      <c r="F1" s="335"/>
      <c r="G1" s="335"/>
      <c r="H1" s="335"/>
      <c r="I1" s="335"/>
      <c r="J1" s="335"/>
      <c r="K1" s="335"/>
      <c r="L1" s="335"/>
      <c r="M1" s="335"/>
      <c r="N1" s="335"/>
      <c r="O1" s="335"/>
      <c r="P1" s="335"/>
      <c r="Q1" s="335"/>
      <c r="R1" s="335"/>
      <c r="S1" s="335"/>
      <c r="T1" s="335"/>
      <c r="U1" s="335"/>
      <c r="V1" s="335"/>
      <c r="W1" s="335"/>
      <c r="X1" s="335"/>
      <c r="Y1" s="335"/>
      <c r="Z1" s="335"/>
    </row>
    <row r="2" ht="15.75" customHeight="1">
      <c r="A2" s="335"/>
      <c r="B2" s="335"/>
      <c r="C2" s="335"/>
      <c r="D2" s="335"/>
      <c r="E2" s="335"/>
      <c r="F2" s="335"/>
      <c r="G2" s="335"/>
      <c r="H2" s="335"/>
      <c r="I2" s="335"/>
      <c r="J2" s="335"/>
      <c r="K2" s="335"/>
      <c r="L2" s="335"/>
      <c r="M2" s="335"/>
      <c r="N2" s="335"/>
      <c r="O2" s="335"/>
      <c r="P2" s="335"/>
      <c r="Q2" s="335"/>
      <c r="R2" s="335"/>
      <c r="S2" s="335"/>
      <c r="T2" s="335"/>
      <c r="U2" s="335"/>
      <c r="V2" s="335"/>
      <c r="W2" s="335"/>
      <c r="X2" s="335"/>
      <c r="Y2" s="335"/>
      <c r="Z2" s="335"/>
    </row>
    <row r="3" ht="15.75" customHeight="1">
      <c r="A3" s="335"/>
      <c r="B3" s="335"/>
      <c r="C3" s="335"/>
      <c r="D3" s="335"/>
      <c r="E3" s="335"/>
      <c r="F3" s="335"/>
      <c r="G3" s="335"/>
      <c r="H3" s="335"/>
      <c r="I3" s="335"/>
      <c r="J3" s="335"/>
      <c r="K3" s="335"/>
      <c r="L3" s="335"/>
      <c r="M3" s="335"/>
      <c r="N3" s="335"/>
      <c r="O3" s="335"/>
      <c r="P3" s="335"/>
      <c r="Q3" s="335"/>
      <c r="R3" s="335"/>
      <c r="S3" s="335"/>
      <c r="T3" s="335"/>
      <c r="U3" s="335"/>
      <c r="V3" s="335"/>
      <c r="W3" s="335"/>
      <c r="X3" s="335"/>
      <c r="Y3" s="335"/>
      <c r="Z3" s="335"/>
    </row>
    <row r="4" ht="4.5" customHeight="1">
      <c r="A4" s="336"/>
      <c r="B4" s="336"/>
      <c r="C4" s="336"/>
      <c r="D4" s="336"/>
      <c r="E4" s="336"/>
      <c r="F4" s="336"/>
      <c r="G4" s="336"/>
      <c r="H4" s="331"/>
      <c r="I4" s="331"/>
      <c r="J4" s="331"/>
      <c r="K4" s="331"/>
      <c r="L4" s="331"/>
      <c r="M4" s="331"/>
      <c r="N4" s="331"/>
      <c r="O4" s="337"/>
      <c r="P4" s="337"/>
      <c r="Q4" s="337"/>
      <c r="R4" s="337"/>
      <c r="S4" s="337"/>
      <c r="T4" s="337"/>
      <c r="U4" s="337"/>
      <c r="V4" s="337"/>
      <c r="W4" s="337"/>
      <c r="X4" s="337"/>
      <c r="Y4" s="337"/>
      <c r="Z4" s="337"/>
    </row>
    <row r="5" ht="1.5" customHeight="1">
      <c r="A5" s="338"/>
      <c r="B5" s="338"/>
      <c r="C5" s="338"/>
      <c r="D5" s="338"/>
      <c r="E5" s="338"/>
      <c r="F5" s="338"/>
      <c r="G5" s="338"/>
      <c r="H5" s="338"/>
      <c r="I5" s="338"/>
      <c r="J5" s="338"/>
      <c r="K5" s="338"/>
      <c r="L5" s="338"/>
      <c r="M5" s="338"/>
      <c r="N5" s="338"/>
      <c r="O5" s="338"/>
      <c r="P5" s="338"/>
      <c r="Q5" s="338"/>
      <c r="R5" s="338"/>
      <c r="S5" s="338"/>
      <c r="T5" s="338"/>
      <c r="U5" s="338"/>
      <c r="V5" s="338"/>
      <c r="W5" s="338"/>
      <c r="X5" s="338"/>
      <c r="Y5" s="338"/>
      <c r="Z5" s="338"/>
    </row>
    <row r="6" ht="1.5" customHeight="1">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row>
    <row r="7" ht="15.75" customHeight="1">
      <c r="Z7" s="152" t="s">
        <v>49</v>
      </c>
    </row>
    <row r="8" ht="15.75" customHeight="1">
      <c r="C8" s="333" t="s">
        <v>10</v>
      </c>
      <c r="D8" s="333"/>
      <c r="E8" s="334" t="str">
        <f>Summary!O14</f>
        <v>Base</v>
      </c>
      <c r="F8" s="334"/>
      <c r="H8" s="333" t="s">
        <v>15</v>
      </c>
      <c r="I8" s="333"/>
      <c r="J8" s="333"/>
      <c r="K8" s="330" t="str">
        <f>Summary!O15</f>
        <v>Debt Schedule</v>
      </c>
      <c r="L8" s="330"/>
      <c r="N8" s="333" t="s">
        <v>283</v>
      </c>
      <c r="O8" s="333"/>
      <c r="P8" s="330" t="str">
        <f>Summary!O16</f>
        <v>Capex &amp; D&amp;A Schedule</v>
      </c>
      <c r="Q8" s="330"/>
      <c r="R8" s="176"/>
      <c r="S8" s="176"/>
      <c r="T8" s="176"/>
      <c r="U8" s="176"/>
      <c r="Z8" s="150"/>
    </row>
    <row r="9" ht="15.75" customHeight="1">
      <c r="B9" s="331"/>
      <c r="C9" s="331"/>
      <c r="D9" s="331"/>
      <c r="E9" s="331"/>
      <c r="F9" s="331"/>
      <c r="U9" s="411"/>
    </row>
    <row r="10" ht="15.75" customHeight="1">
      <c r="B10" s="331"/>
      <c r="C10" s="331"/>
      <c r="D10" s="331"/>
      <c r="E10" s="331"/>
      <c r="F10" s="331"/>
      <c r="G10" s="153" t="s">
        <v>44</v>
      </c>
      <c r="H10" s="153" t="s">
        <v>45</v>
      </c>
      <c r="I10" s="153" t="s">
        <v>46</v>
      </c>
      <c r="J10" s="153" t="s">
        <v>47</v>
      </c>
      <c r="K10" s="153" t="s">
        <v>48</v>
      </c>
      <c r="L10" s="154" t="s">
        <v>257</v>
      </c>
      <c r="M10" s="154" t="s">
        <v>258</v>
      </c>
      <c r="N10" s="154" t="s">
        <v>259</v>
      </c>
      <c r="O10" s="154" t="s">
        <v>260</v>
      </c>
      <c r="P10" s="154" t="s">
        <v>261</v>
      </c>
      <c r="Q10" s="154" t="s">
        <v>262</v>
      </c>
      <c r="R10" s="154" t="s">
        <v>263</v>
      </c>
      <c r="S10" s="154" t="s">
        <v>264</v>
      </c>
      <c r="T10" s="154" t="s">
        <v>265</v>
      </c>
      <c r="U10" s="154" t="s">
        <v>266</v>
      </c>
    </row>
    <row r="11" ht="15.75" customHeight="1">
      <c r="B11" s="332" t="s">
        <v>146</v>
      </c>
      <c r="C11" s="332"/>
      <c r="D11" s="332"/>
      <c r="E11" s="332"/>
      <c r="F11" s="332"/>
      <c r="G11" s="155"/>
      <c r="H11" s="155"/>
      <c r="I11" s="155"/>
      <c r="J11" s="155"/>
      <c r="K11" s="156"/>
      <c r="L11" s="157"/>
      <c r="M11" s="157"/>
      <c r="N11" s="157"/>
      <c r="O11" s="157"/>
      <c r="P11" s="157"/>
      <c r="Q11" s="157"/>
      <c r="R11" s="157"/>
      <c r="S11" s="157"/>
      <c r="T11" s="157"/>
      <c r="U11" s="157"/>
    </row>
    <row r="12" ht="15.75" customHeight="1">
      <c r="C12" s="158" t="s">
        <v>147</v>
      </c>
      <c r="G12" s="159" t="n">
        <f>'Revenue Recognition'!G10</f>
        <v>3552838</v>
      </c>
      <c r="H12" s="159" t="n">
        <f>'Revenue Recognition'!H10</f>
        <v>4321120</v>
      </c>
      <c r="I12" s="159" t="n">
        <f>'Revenue Recognition'!I10</f>
        <v>5119181</v>
      </c>
      <c r="J12" s="159" t="n">
        <f>'Revenue Recognition'!J10</f>
        <v>5727688</v>
      </c>
      <c r="K12" s="159" t="n">
        <f>'Revenue Recognition'!K10</f>
        <v>6005243</v>
      </c>
      <c r="L12" s="160" t="n">
        <f t="array" ref="L12">K12*(1+(_xlfn.IFS($E$8=Scenarios!$B$8,Scenarios!L10,Forecasts!E8=Scenarios!B35,Scenarios!L37,Forecasts!E8=Scenarios!B62,Scenarios!L64)))</f>
        <v>6275478.935</v>
      </c>
      <c r="M12" s="160" t="n">
        <f t="array" ref="M12">L12*(1+(_xlfn.IFS($E$8=Scenarios!$B$8,Scenarios!M10,$E$8=Scenarios!$B$35,Scenarios!M37,$E$8=Scenarios!$B$62,Scenarios!M64)))</f>
        <v>6620630.276424999</v>
      </c>
      <c r="N12" s="160" t="n">
        <f t="array" ref="N12">M12*(1+(_xlfn.IFS($E$8=Scenarios!$B$8,Scenarios!N10,$E$8=Scenarios!$B$35,Scenarios!N37,$E$8=Scenarios!$B$62,Scenarios!N64)))</f>
        <v>6984764.941628374</v>
      </c>
      <c r="O12" s="160" t="n">
        <f t="array" ref="O12">N12*(1+(_xlfn.IFS($E$8=Scenarios!$B$8,Scenarios!O10,$E$8=Scenarios!$B$35,Scenarios!O37,$E$8=Scenarios!$B$62,Scenarios!O64)))</f>
        <v>7334003.188709794</v>
      </c>
      <c r="P12" s="160" t="n">
        <f t="array" ref="P12">O12*(1+(_xlfn.IFS($E$8=Scenarios!$B$8,Scenarios!P10,$E$8=Scenarios!$B$35,Scenarios!P37,$E$8=Scenarios!$B$62,Scenarios!P64)))</f>
        <v>7664033.332201734</v>
      </c>
      <c r="Q12" s="160" t="n">
        <f t="array" ref="Q12">P12*(1+(_xlfn.IFS($E$8=Scenarios!$B$8,Scenarios!Q10,$E$8=Scenarios!$B$35,Scenarios!Q37,$E$8=Scenarios!$B$62,Scenarios!Q64)))</f>
        <v>7970594.665489804</v>
      </c>
      <c r="R12" s="160" t="n">
        <f t="array" ref="R12">Q12*(1+(_xlfn.IFS($E$8=Scenarios!$B$8,Scenarios!R10,$E$8=Scenarios!$B$35,Scenarios!R37,$E$8=Scenarios!$B$62,Scenarios!R64)))</f>
        <v>8249565.478781947</v>
      </c>
      <c r="S12" s="160" t="n">
        <f t="array" ref="S12">R12*(1+(_xlfn.IFS($E$8=Scenarios!$B$8,Scenarios!S10,$E$8=Scenarios!$B$35,Scenarios!S37,$E$8=Scenarios!$B$62,Scenarios!S64)))</f>
        <v>8497052.443145406</v>
      </c>
      <c r="T12" s="160" t="n">
        <f t="array" ref="T12">S12*(1+(_xlfn.IFS($E$8=Scenarios!$B$8,Scenarios!T10,$E$8=Scenarios!$B$35,Scenarios!T37,$E$8=Scenarios!$B$62,Scenarios!T64)))</f>
        <v>8751964.016439768</v>
      </c>
      <c r="U12" s="160" t="n">
        <f t="array" ref="U12">T12*(1+(_xlfn.IFS($E$8=Scenarios!$B$8,Scenarios!U10,$E$8=Scenarios!$B$35,Scenarios!U37,$E$8=Scenarios!$B$62,Scenarios!U64)))</f>
        <v>8970763.116850762</v>
      </c>
    </row>
    <row r="13" ht="15.75" customHeight="1">
      <c r="C13" s="158" t="s">
        <v>148</v>
      </c>
      <c r="G13" s="159" t="n">
        <f>'Revenue Recognition'!G11</f>
        <v>450860</v>
      </c>
      <c r="H13" s="159" t="n">
        <f>'Revenue Recognition'!H11</f>
        <v>498861</v>
      </c>
      <c r="I13" s="159" t="n">
        <f>'Revenue Recognition'!I11</f>
        <v>571759</v>
      </c>
      <c r="J13" s="159" t="n">
        <f>'Revenue Recognition'!J11</f>
        <v>669776</v>
      </c>
      <c r="K13" s="159" t="n">
        <f>'Revenue Recognition'!K11</f>
        <v>819551</v>
      </c>
      <c r="L13" s="160" t="n">
        <f t="array" ref="L13">K13*(1+(_xlfn.IFS($E$8=Scenarios!$B$8,Scenarios!L11,$E$8=Scenarios!$B$35,Scenarios!L38,$E$8=Scenarios!$B$62,Scenarios!L65)))</f>
        <v>901506.1000000001</v>
      </c>
      <c r="M13" s="160" t="n">
        <f t="array" ref="M13">L13*(1+(_xlfn.IFS($E$8=Scenarios!$B$8,Scenarios!M11,$E$8=Scenarios!$B$35,Scenarios!M38,$E$8=Scenarios!$B$62,Scenarios!M65)))</f>
        <v>987149.1795000001</v>
      </c>
      <c r="N13" s="160" t="n">
        <f t="array" ref="N13">M13*(1+(_xlfn.IFS($E$8=Scenarios!$B$8,Scenarios!N11,$E$8=Scenarios!$B$35,Scenarios!N38,$E$8=Scenarios!$B$62,Scenarios!N65)))</f>
        <v>1075992.605655</v>
      </c>
      <c r="O13" s="160" t="n">
        <f t="array" ref="O13">N13*(1+(_xlfn.IFS($E$8=Scenarios!$B$8,Scenarios!O11,$E$8=Scenarios!$B$35,Scenarios!O38,$E$8=Scenarios!$B$62,Scenarios!O65)))</f>
        <v>1167451.977135675</v>
      </c>
      <c r="P13" s="160" t="n">
        <f t="array" ref="P13">O13*(1+(_xlfn.IFS($E$8=Scenarios!$B$8,Scenarios!P11,$E$8=Scenarios!$B$35,Scenarios!P38,$E$8=Scenarios!$B$62,Scenarios!P65)))</f>
        <v>1260848.135306529</v>
      </c>
      <c r="Q13" s="160" t="n">
        <f t="array" ref="Q13">P13*(1+(_xlfn.IFS($E$8=Scenarios!$B$8,Scenarios!Q11,$E$8=Scenarios!$B$35,Scenarios!Q38,$E$8=Scenarios!$B$62,Scenarios!Q65)))</f>
        <v>1361715.9861310513</v>
      </c>
      <c r="R13" s="160" t="n">
        <f t="array" ref="R13">Q13*(1+(_xlfn.IFS($E$8=Scenarios!$B$8,Scenarios!R11,$E$8=Scenarios!$B$35,Scenarios!R38,$E$8=Scenarios!$B$62,Scenarios!R65)))</f>
        <v>1463844.6850908801</v>
      </c>
      <c r="S13" s="160" t="n">
        <f t="array" ref="S13">R13*(1+(_xlfn.IFS($E$8=Scenarios!$B$8,Scenarios!S11,$E$8=Scenarios!$B$35,Scenarios!S38,$E$8=Scenarios!$B$62,Scenarios!S65)))</f>
        <v>1558994.5896217872</v>
      </c>
      <c r="T13" s="160" t="n">
        <f t="array" ref="T13">S13*(1+(_xlfn.IFS($E$8=Scenarios!$B$8,Scenarios!T11,$E$8=Scenarios!$B$35,Scenarios!T38,$E$8=Scenarios!$B$62,Scenarios!T65)))</f>
        <v>1652534.2649990944</v>
      </c>
      <c r="U13" s="160" t="n">
        <f t="array" ref="U13">T13*(1+(_xlfn.IFS($E$8=Scenarios!$B$8,Scenarios!U11,$E$8=Scenarios!$B$35,Scenarios!U38,$E$8=Scenarios!$B$62,Scenarios!U65)))</f>
        <v>1735160.9782490493</v>
      </c>
    </row>
    <row r="14" ht="15.75" customHeight="1">
      <c r="C14" s="158" t="s">
        <v>284</v>
      </c>
      <c r="G14" s="159" t="n">
        <f>'Revenue Recognition'!G12</f>
        <v>267196</v>
      </c>
      <c r="H14" s="159" t="n">
        <f>'Revenue Recognition'!H12</f>
        <v>275273</v>
      </c>
      <c r="I14" s="159" t="n">
        <f>'Revenue Recognition'!I12</f>
        <v>279206</v>
      </c>
      <c r="J14" s="159" t="n">
        <f>'Revenue Recognition'!J12</f>
        <v>279204</v>
      </c>
      <c r="K14" s="159" t="n">
        <f>'Revenue Recognition'!K12</f>
        <v>320974</v>
      </c>
      <c r="L14" s="160" t="n">
        <f t="array" ref="L14">K14*(1+(_xlfn.IFS($E$8=Scenarios!$B$8,Scenarios!L12,$E$8=Scenarios!$B$35,Scenarios!L39,$E$8=Scenarios!$B$62,Scenarios!L66)))</f>
        <v>333812.96</v>
      </c>
      <c r="M14" s="160" t="n">
        <f t="array" ref="M14">L14*(1+(_xlfn.IFS($E$8=Scenarios!$B$8,Scenarios!M12,$E$8=Scenarios!$B$35,Scenarios!M39,$E$8=Scenarios!$B$62,Scenarios!M66)))</f>
        <v>347165.4784</v>
      </c>
      <c r="N14" s="160" t="n">
        <f t="array" ref="N14">M14*(1+(_xlfn.IFS($E$8=Scenarios!$B$8,Scenarios!N12,$E$8=Scenarios!$B$35,Scenarios!N39,$E$8=Scenarios!$B$62,Scenarios!N66)))</f>
        <v>361052.097536</v>
      </c>
      <c r="O14" s="160" t="n">
        <f t="array" ref="O14">N14*(1+(_xlfn.IFS($E$8=Scenarios!$B$8,Scenarios!O12,$E$8=Scenarios!$B$35,Scenarios!O39,$E$8=Scenarios!$B$62,Scenarios!O66)))</f>
        <v>375494.18143744004</v>
      </c>
      <c r="P14" s="160" t="n">
        <f t="array" ref="P14">O14*(1+(_xlfn.IFS($E$8=Scenarios!$B$8,Scenarios!P12,$E$8=Scenarios!$B$35,Scenarios!P39,$E$8=Scenarios!$B$62,Scenarios!P66)))</f>
        <v>390513.94869493763</v>
      </c>
      <c r="Q14" s="160" t="n">
        <f t="array" ref="Q14">P14*(1+(_xlfn.IFS($E$8=Scenarios!$B$8,Scenarios!Q12,$E$8=Scenarios!$B$35,Scenarios!Q39,$E$8=Scenarios!$B$62,Scenarios!Q66)))</f>
        <v>404181.93689926044</v>
      </c>
      <c r="R14" s="160" t="n">
        <f t="array" ref="R14">Q14*(1+(_xlfn.IFS($E$8=Scenarios!$B$8,Scenarios!R12,$E$8=Scenarios!$B$35,Scenarios!R39,$E$8=Scenarios!$B$62,Scenarios!R66)))</f>
        <v>418328.30469073454</v>
      </c>
      <c r="S14" s="160" t="n">
        <f t="array" ref="S14">R14*(1+(_xlfn.IFS($E$8=Scenarios!$B$8,Scenarios!S12,$E$8=Scenarios!$B$35,Scenarios!S39,$E$8=Scenarios!$B$62,Scenarios!S66)))</f>
        <v>430878.1538314566</v>
      </c>
      <c r="T14" s="160" t="n">
        <f t="array" ref="T14">S14*(1+(_xlfn.IFS($E$8=Scenarios!$B$8,Scenarios!T12,$E$8=Scenarios!$B$35,Scenarios!T39,$E$8=Scenarios!$B$62,Scenarios!T66)))</f>
        <v>443804.49844640034</v>
      </c>
      <c r="U14" s="160" t="n">
        <f t="array" ref="U14">T14*(1+(_xlfn.IFS($E$8=Scenarios!$B$8,Scenarios!U12,$E$8=Scenarios!$B$35,Scenarios!U39,$E$8=Scenarios!$B$62,Scenarios!U66)))</f>
        <v>457118.63339979236</v>
      </c>
    </row>
    <row r="15" ht="15.75" customHeight="1">
      <c r="B15" s="161" t="s">
        <v>150</v>
      </c>
      <c r="C15" s="158"/>
      <c r="G15" s="162" t="n">
        <f t="shared" ref="G15:U15" si="0">SUM(G12:G14)</f>
        <v>4270894</v>
      </c>
      <c r="H15" s="162">
        <f t="shared" si="0"/>
        <v>5095254</v>
      </c>
      <c r="I15" s="162">
        <f t="shared" si="0"/>
        <v>5970146</v>
      </c>
      <c r="J15" s="162">
        <f t="shared" si="0"/>
        <v>6676668</v>
      </c>
      <c r="K15" s="162">
        <f t="shared" si="0"/>
        <v>7145768</v>
      </c>
      <c r="L15" s="163">
        <f t="shared" si="0"/>
        <v>7510797.9950000001</v>
      </c>
      <c r="M15" s="163">
        <f t="shared" si="0"/>
        <v>7954944.9343249993</v>
      </c>
      <c r="N15" s="163">
        <f t="shared" si="0"/>
        <v>8421809.6448193733</v>
      </c>
      <c r="O15" s="163">
        <f t="shared" si="0"/>
        <v>8876949.3472829089</v>
      </c>
      <c r="P15" s="163">
        <f t="shared" si="0"/>
        <v>9315395.4162032008</v>
      </c>
      <c r="Q15" s="163">
        <f t="shared" si="0"/>
        <v>9736492.5885201152</v>
      </c>
      <c r="R15" s="163">
        <f t="shared" si="0"/>
        <v>10131738.468563562</v>
      </c>
      <c r="S15" s="163">
        <f t="shared" si="0"/>
        <v>10486925.186598649</v>
      </c>
      <c r="T15" s="163">
        <f t="shared" si="0"/>
        <v>10848302.779885262</v>
      </c>
      <c r="U15" s="163">
        <f t="shared" si="0"/>
        <v>11163042.728499603</v>
      </c>
    </row>
    <row r="16" ht="15" customHeight="1">
      <c r="B16" s="164"/>
      <c r="G16" s="162"/>
      <c r="H16" s="162"/>
      <c r="I16" s="162"/>
      <c r="J16" s="162"/>
      <c r="K16" s="162"/>
      <c r="L16" s="157"/>
      <c r="M16" s="157"/>
      <c r="N16" s="157"/>
      <c r="O16" s="157"/>
      <c r="P16" s="157"/>
      <c r="Q16" s="157"/>
      <c r="R16" s="157"/>
      <c r="S16" s="157"/>
      <c r="T16" s="157"/>
      <c r="U16" s="157"/>
    </row>
    <row r="17" ht="15.75" customHeight="1">
      <c r="B17" s="161" t="s">
        <v>285</v>
      </c>
      <c r="C17" s="165"/>
      <c r="G17" s="159"/>
      <c r="H17" s="159"/>
      <c r="I17" s="159"/>
      <c r="J17" s="159"/>
      <c r="K17" s="159"/>
      <c r="L17" s="157"/>
      <c r="M17" s="157"/>
      <c r="N17" s="157"/>
      <c r="O17" s="157"/>
      <c r="P17" s="157"/>
      <c r="Q17" s="157"/>
      <c r="R17" s="157"/>
      <c r="S17" s="157"/>
      <c r="T17" s="157"/>
      <c r="U17" s="157"/>
    </row>
    <row r="18" ht="15.75" customHeight="1">
      <c r="C18" s="165" t="s">
        <v>51</v>
      </c>
      <c r="G18" s="159">
        <v>11155</v>
      </c>
      <c r="H18" s="159">
        <v>13221</v>
      </c>
      <c r="I18" s="159">
        <v>13663</v>
      </c>
      <c r="J18" s="159">
        <v>13752</v>
      </c>
      <c r="K18" s="159">
        <v>13640</v>
      </c>
      <c r="L18" s="160" t="n">
        <f t="array" ref="L18">K18*(1+(_xlfn.IFS($E$8=Scenarios!$B$8,Scenarios!L14,$E$8=Scenarios!$B$35,Scenarios!L41,$E$8=Scenarios!$B$62,Scenarios!L68)))</f>
        <v>13708.199999999999</v>
      </c>
      <c r="M18" s="160" t="n">
        <f t="array" ref="M18">L18*(1+(_xlfn.IFS($E$8=Scenarios!$B$8,Scenarios!M14,$E$8=Scenarios!$B$35,Scenarios!M41,$E$8=Scenarios!$B$62,Scenarios!M68)))</f>
        <v>13776.740999999998</v>
      </c>
      <c r="N18" s="160" t="n">
        <f t="array" ref="N18">M18*(1+(_xlfn.IFS($E$8=Scenarios!$B$8,Scenarios!N14,$E$8=Scenarios!$B$35,Scenarios!N41,$E$8=Scenarios!$B$62,Scenarios!N68)))</f>
        <v>13845.624704999997</v>
      </c>
      <c r="O18" s="160" t="n">
        <f t="array" ref="O18">N18*(1+(_xlfn.IFS($E$8=Scenarios!$B$8,Scenarios!O14,$E$8=Scenarios!$B$35,Scenarios!O41,$E$8=Scenarios!$B$62,Scenarios!O68)))</f>
        <v>13914.852828524996</v>
      </c>
      <c r="P18" s="160" t="n">
        <f t="array" ref="P18">O18*(1+(_xlfn.IFS($E$8=Scenarios!$B$8,Scenarios!P14,$E$8=Scenarios!$B$35,Scenarios!P41,$E$8=Scenarios!$B$62,Scenarios!P68)))</f>
        <v>13984.42709266762</v>
      </c>
      <c r="Q18" s="160" t="n">
        <f t="array" ref="Q18">P18*(1+(_xlfn.IFS($E$8=Scenarios!$B$8,Scenarios!Q14,$E$8=Scenarios!$B$35,Scenarios!Q41,$E$8=Scenarios!$B$62,Scenarios!Q68)))</f>
        <v>14054.349228130957</v>
      </c>
      <c r="R18" s="160" t="n">
        <f t="array" ref="R18">Q18*(1+(_xlfn.IFS($E$8=Scenarios!$B$8,Scenarios!R14,$E$8=Scenarios!$B$35,Scenarios!R41,$E$8=Scenarios!$B$62,Scenarios!R68)))</f>
        <v>14124.620974271611</v>
      </c>
      <c r="S18" s="160" t="n">
        <f t="array" ref="S18">R18*(1+(_xlfn.IFS($E$8=Scenarios!$B$8,Scenarios!S14,$E$8=Scenarios!$B$35,Scenarios!S41,$E$8=Scenarios!$B$62,Scenarios!S68)))</f>
        <v>14195.244079142967</v>
      </c>
      <c r="T18" s="160" t="n">
        <f t="array" ref="T18">S18*(1+(_xlfn.IFS($E$8=Scenarios!$B$8,Scenarios!T14,$E$8=Scenarios!$B$35,Scenarios!T41,$E$8=Scenarios!$B$62,Scenarios!T68)))</f>
        <v>14266.22029953868</v>
      </c>
      <c r="U18" s="160" t="n">
        <f t="array" ref="U18">T18*(1+(_xlfn.IFS($E$8=Scenarios!$B$8,Scenarios!U14,$E$8=Scenarios!$B$35,Scenarios!U41,$E$8=Scenarios!$B$62,Scenarios!U68)))</f>
        <v>14337.551401036371</v>
      </c>
    </row>
    <row r="19" ht="15.75" customHeight="1">
      <c r="B19" s="161"/>
      <c r="C19" s="412" t="s">
        <v>286</v>
      </c>
      <c r="D19" s="412"/>
      <c r="E19" s="412"/>
      <c r="F19" s="412"/>
      <c r="G19" s="159" t="n">
        <f t="shared" ref="G19:U19" si="1">G12/G18</f>
        <v>318.4973554459883</v>
      </c>
      <c r="H19" s="159">
        <f t="shared" si="1"/>
        <v>326.83760683760681</v>
      </c>
      <c r="I19" s="159">
        <f t="shared" si="1"/>
        <v>374.6747420039523</v>
      </c>
      <c r="J19" s="159">
        <f t="shared" si="1"/>
        <v>416.49854566608491</v>
      </c>
      <c r="K19" s="159">
        <f t="shared" si="1"/>
        <v>440.26708211143693</v>
      </c>
      <c r="L19" s="160">
        <f t="shared" si="1"/>
        <v>457.79015005617077</v>
      </c>
      <c r="M19" s="160">
        <f t="shared" si="1"/>
        <v>480.56577941219916</v>
      </c>
      <c r="N19" s="160">
        <f t="shared" si="1"/>
        <v>504.47452465658722</v>
      </c>
      <c r="O19" s="160">
        <f t="shared" si="1"/>
        <v>527.06293620837482</v>
      </c>
      <c r="P19" s="160">
        <f t="shared" si="1"/>
        <v>548.04056551020074</v>
      </c>
      <c r="Q19" s="160">
        <f t="shared" si="1"/>
        <v>567.12655535383954</v>
      </c>
      <c r="R19" s="160">
        <f t="shared" si="1"/>
        <v>584.05570625992436</v>
      </c>
      <c r="S19" s="160">
        <f t="shared" si="1"/>
        <v>598.58445517186294</v>
      </c>
      <c r="T19" s="160">
        <f t="shared" si="1"/>
        <v>613.47461574827753</v>
      </c>
      <c r="U19" s="160">
        <f t="shared" si="1"/>
        <v>625.68306581291984</v>
      </c>
    </row>
    <row r="20" ht="15.75" customHeight="1">
      <c r="G20" s="166"/>
      <c r="H20" s="166"/>
      <c r="I20" s="166"/>
      <c r="J20" s="166"/>
      <c r="K20" s="166"/>
      <c r="L20" s="157"/>
      <c r="M20" s="157"/>
      <c r="N20" s="157"/>
      <c r="O20" s="157"/>
      <c r="P20" s="157"/>
      <c r="Q20" s="157"/>
      <c r="R20" s="157"/>
      <c r="S20" s="157"/>
      <c r="T20" s="157"/>
      <c r="U20" s="157"/>
    </row>
    <row r="21" ht="15.75" customHeight="1">
      <c r="B21" s="161" t="s">
        <v>287</v>
      </c>
      <c r="G21" s="166"/>
      <c r="H21" s="166"/>
      <c r="I21" s="166"/>
      <c r="J21" s="166"/>
      <c r="K21" s="166"/>
      <c r="L21" s="157"/>
      <c r="M21" s="157"/>
      <c r="N21" s="157"/>
      <c r="O21" s="157"/>
      <c r="P21" s="157"/>
      <c r="Q21" s="157"/>
      <c r="R21" s="157"/>
      <c r="S21" s="157"/>
      <c r="T21" s="157"/>
      <c r="U21" s="157"/>
    </row>
    <row r="22" ht="15.75" customHeight="1">
      <c r="C22" s="165" t="s">
        <v>230</v>
      </c>
      <c r="G22" s="159" t="n">
        <f>'Revenue Recognition'!G27</f>
        <v>2080613</v>
      </c>
      <c r="H22" s="159" t="n">
        <f>'Revenue Recognition'!H27</f>
        <v>2648953</v>
      </c>
      <c r="I22" s="159" t="n">
        <f>'Revenue Recognition'!I27</f>
        <v>2995877</v>
      </c>
      <c r="J22" s="159" t="n">
        <f>'Revenue Recognition'!J27</f>
        <v>3329483</v>
      </c>
      <c r="K22" s="159" t="n">
        <f>'Revenue Recognition'!K27</f>
        <v>3452971</v>
      </c>
      <c r="L22" s="160" t="n">
        <f t="array" ref="L22">L15*(_xlfn.IFS($E$8=Scenarios!$B$8,Scenarios!L17,$E$8=Scenarios!$B$35,Scenarios!L44,$E$8=Scenarios!$B$62,Scenarios!L71))</f>
        <v>3605183.0376</v>
      </c>
      <c r="M22" s="160" t="n">
        <f t="array" ref="M22">M15*(_xlfn.IFS($E$8=Scenarios!$B$8,Scenarios!M17,$E$8=Scenarios!$B$35,Scenarios!M44,$E$8=Scenarios!$B$62,Scenarios!M71))</f>
        <v>3810418.6235416746</v>
      </c>
      <c r="N22" s="160" t="n">
        <f t="array" ref="N22">N15*(_xlfn.IFS($E$8=Scenarios!$B$8,Scenarios!N17,$E$8=Scenarios!$B$35,Scenarios!N44,$E$8=Scenarios!$B$62,Scenarios!N71))</f>
        <v>4025625.01022366</v>
      </c>
      <c r="O22" s="160" t="n">
        <f t="array" ref="O22">O15*(_xlfn.IFS($E$8=Scenarios!$B$8,Scenarios!O17,$E$8=Scenarios!$B$35,Scenarios!O44,$E$8=Scenarios!$B$62,Scenarios!O71))</f>
        <v>4234304.838653947</v>
      </c>
      <c r="P22" s="160" t="n">
        <f t="array" ref="P22">P15*(_xlfn.IFS($E$8=Scenarios!$B$8,Scenarios!P17,$E$8=Scenarios!$B$35,Scenarios!P44,$E$8=Scenarios!$B$62,Scenarios!P71))</f>
        <v>4434128.218112723</v>
      </c>
      <c r="Q22" s="160" t="n">
        <f t="array" ref="Q22">Q15*(_xlfn.IFS($E$8=Scenarios!$B$8,Scenarios!Q17,$E$8=Scenarios!$B$35,Scenarios!Q44,$E$8=Scenarios!$B$62,Scenarios!Q71))</f>
        <v>4634570.472135575</v>
      </c>
      <c r="R22" s="160" t="n">
        <f t="array" ref="R22">R15*(_xlfn.IFS($E$8=Scenarios!$B$8,Scenarios!R17,$E$8=Scenarios!$B$35,Scenarios!R44,$E$8=Scenarios!$B$62,Scenarios!R71))</f>
        <v>4822707.511036255</v>
      </c>
      <c r="S22" s="160" t="n">
        <f t="array" ref="S22">S15*(_xlfn.IFS($E$8=Scenarios!$B$8,Scenarios!S17,$E$8=Scenarios!$B$35,Scenarios!S44,$E$8=Scenarios!$B$62,Scenarios!S71))</f>
        <v>4991776.388820956</v>
      </c>
      <c r="T22" s="160" t="n">
        <f t="array" ref="T22">T15*(_xlfn.IFS($E$8=Scenarios!$B$8,Scenarios!T17,$E$8=Scenarios!$B$35,Scenarios!T44,$E$8=Scenarios!$B$62,Scenarios!T71))</f>
        <v>5163792.123225384</v>
      </c>
      <c r="U22" s="160" t="n">
        <f t="array" ref="U22">U15*(_xlfn.IFS($E$8=Scenarios!$B$8,Scenarios!U17,$E$8=Scenarios!$B$35,Scenarios!U44,$E$8=Scenarios!$B$62,Scenarios!U71))</f>
        <v>5313608.33876581</v>
      </c>
    </row>
    <row r="23" ht="15.75" customHeight="1">
      <c r="B23" s="161"/>
      <c r="C23" s="165" t="s">
        <v>160</v>
      </c>
      <c r="G23" s="159" t="n">
        <f>'Revenue Recognition'!G29</f>
        <v>168466</v>
      </c>
      <c r="H23" s="159" t="n">
        <f>'Revenue Recognition'!H29</f>
        <v>226988</v>
      </c>
      <c r="I23" s="159" t="n">
        <f>'Revenue Recognition'!I29</f>
        <v>236443</v>
      </c>
      <c r="J23" s="159" t="n">
        <f>'Revenue Recognition'!J29</f>
        <v>288538</v>
      </c>
      <c r="K23" s="159" t="n">
        <f>'Revenue Recognition'!K29</f>
        <v>349392</v>
      </c>
      <c r="L23" s="160" t="n">
        <f t="array" ref="L23">L15*(_xlfn.IFS($E$8=Scenarios!$B$8,Scenarios!L18,$E$8=Scenarios!$B$35,Scenarios!L45,$E$8=Scenarios!$B$62,Scenarios!L72))</f>
        <v>375539.89975000004</v>
      </c>
      <c r="M23" s="160" t="n">
        <f t="array" ref="M23">M15*(_xlfn.IFS($E$8=Scenarios!$B$8,Scenarios!M18,$E$8=Scenarios!$B$35,Scenarios!M45,$E$8=Scenarios!$B$62,Scenarios!M72))</f>
        <v>397747.24671624997</v>
      </c>
      <c r="N23" s="160" t="n">
        <f t="array" ref="N23">N15*(_xlfn.IFS($E$8=Scenarios!$B$8,Scenarios!N18,$E$8=Scenarios!$B$35,Scenarios!N45,$E$8=Scenarios!$B$62,Scenarios!N72))</f>
        <v>421090.4822409687</v>
      </c>
      <c r="O23" s="160" t="n">
        <f t="array" ref="O23">O15*(_xlfn.IFS($E$8=Scenarios!$B$8,Scenarios!O18,$E$8=Scenarios!$B$35,Scenarios!O45,$E$8=Scenarios!$B$62,Scenarios!O72))</f>
        <v>443847.46736414544</v>
      </c>
      <c r="P23" s="160" t="n">
        <f t="array" ref="P23">P15*(_xlfn.IFS($E$8=Scenarios!$B$8,Scenarios!P18,$E$8=Scenarios!$B$35,Scenarios!P45,$E$8=Scenarios!$B$62,Scenarios!P72))</f>
        <v>465769.7708101601</v>
      </c>
      <c r="Q23" s="160" t="n">
        <f t="array" ref="Q23">Q15*(_xlfn.IFS($E$8=Scenarios!$B$8,Scenarios!Q18,$E$8=Scenarios!$B$35,Scenarios!Q45,$E$8=Scenarios!$B$62,Scenarios!Q72))</f>
        <v>486824.62942600576</v>
      </c>
      <c r="R23" s="160" t="n">
        <f t="array" ref="R23">R15*(_xlfn.IFS($E$8=Scenarios!$B$8,Scenarios!R18,$E$8=Scenarios!$B$35,Scenarios!R45,$E$8=Scenarios!$B$62,Scenarios!R72))</f>
        <v>506586.9234281781</v>
      </c>
      <c r="S23" s="160" t="n">
        <f t="array" ref="S23">S15*(_xlfn.IFS($E$8=Scenarios!$B$8,Scenarios!S18,$E$8=Scenarios!$B$35,Scenarios!S45,$E$8=Scenarios!$B$62,Scenarios!S72))</f>
        <v>524346.2593299325</v>
      </c>
      <c r="T23" s="160" t="n">
        <f t="array" ref="T23">T15*(_xlfn.IFS($E$8=Scenarios!$B$8,Scenarios!T18,$E$8=Scenarios!$B$35,Scenarios!T45,$E$8=Scenarios!$B$62,Scenarios!T72))</f>
        <v>542415.1389942631</v>
      </c>
      <c r="U23" s="160" t="n">
        <f t="array" ref="U23">U15*(_xlfn.IFS($E$8=Scenarios!$B$8,Scenarios!U18,$E$8=Scenarios!$B$35,Scenarios!U45,$E$8=Scenarios!$B$62,Scenarios!U72))</f>
        <v>558152.1364249801</v>
      </c>
    </row>
    <row r="24" ht="15.75" customHeight="1">
      <c r="C24" s="165" t="s">
        <v>161</v>
      </c>
      <c r="G24" s="159" t="n">
        <f>'Revenue Recognition'!G30</f>
        <v>179558</v>
      </c>
      <c r="H24" s="159" t="n">
        <f>'Revenue Recognition'!H30</f>
        <v>200986</v>
      </c>
      <c r="I24" s="159" t="n">
        <f>'Revenue Recognition'!I30</f>
        <v>226137</v>
      </c>
      <c r="J24" s="159" t="n">
        <f>'Revenue Recognition'!J30</f>
        <v>272606</v>
      </c>
      <c r="K24" s="159" t="n">
        <f>'Revenue Recognition'!K30</f>
        <v>293098</v>
      </c>
      <c r="L24" s="160" t="n">
        <f t="array" ref="L24">L15*(_xlfn.IFS($E$8=Scenarios!$B$8,Scenarios!L19,$E$8=Scenarios!$B$35,Scenarios!L46,$E$8=Scenarios!$B$62,Scenarios!L73))</f>
        <v>307942.717795</v>
      </c>
      <c r="M24" s="160" t="n">
        <f t="array" ref="M24">M15*(_xlfn.IFS($E$8=Scenarios!$B$8,Scenarios!M19,$E$8=Scenarios!$B$35,Scenarios!M46,$E$8=Scenarios!$B$62,Scenarios!M73))</f>
        <v>326152.742307325</v>
      </c>
      <c r="N24" s="160" t="n">
        <f t="array" ref="N24">N15*(_xlfn.IFS($E$8=Scenarios!$B$8,Scenarios!N19,$E$8=Scenarios!$B$35,Scenarios!N46,$E$8=Scenarios!$B$62,Scenarios!N73))</f>
        <v>345294.1954375943</v>
      </c>
      <c r="O24" s="160" t="n">
        <f t="array" ref="O24">O15*(_xlfn.IFS($E$8=Scenarios!$B$8,Scenarios!O19,$E$8=Scenarios!$B$35,Scenarios!O46,$E$8=Scenarios!$B$62,Scenarios!O73))</f>
        <v>363954.92323859927</v>
      </c>
      <c r="P24" s="160" t="n">
        <f t="array" ref="P24">P15*(_xlfn.IFS($E$8=Scenarios!$B$8,Scenarios!P19,$E$8=Scenarios!$B$35,Scenarios!P46,$E$8=Scenarios!$B$62,Scenarios!P73))</f>
        <v>381931.2120643312</v>
      </c>
      <c r="Q24" s="160" t="n">
        <f t="array" ref="Q24">Q15*(_xlfn.IFS($E$8=Scenarios!$B$8,Scenarios!Q19,$E$8=Scenarios!$B$35,Scenarios!Q46,$E$8=Scenarios!$B$62,Scenarios!Q73))</f>
        <v>399196.19612932473</v>
      </c>
      <c r="R24" s="160" t="n">
        <f t="array" ref="R24">R15*(_xlfn.IFS($E$8=Scenarios!$B$8,Scenarios!R19,$E$8=Scenarios!$B$35,Scenarios!R46,$E$8=Scenarios!$B$62,Scenarios!R73))</f>
        <v>415401.2772111061</v>
      </c>
      <c r="S24" s="160" t="n">
        <f t="array" ref="S24">S15*(_xlfn.IFS($E$8=Scenarios!$B$8,Scenarios!S19,$E$8=Scenarios!$B$35,Scenarios!S46,$E$8=Scenarios!$B$62,Scenarios!S73))</f>
        <v>429963.9326505446</v>
      </c>
      <c r="T24" s="160" t="n">
        <f t="array" ref="T24">T15*(_xlfn.IFS($E$8=Scenarios!$B$8,Scenarios!T19,$E$8=Scenarios!$B$35,Scenarios!T46,$E$8=Scenarios!$B$62,Scenarios!T73))</f>
        <v>444780.4139752958</v>
      </c>
      <c r="U24" s="160" t="n">
        <f t="array" ref="U24">U15*(_xlfn.IFS($E$8=Scenarios!$B$8,Scenarios!U19,$E$8=Scenarios!$B$35,Scenarios!U46,$E$8=Scenarios!$B$62,Scenarios!U73))</f>
        <v>457684.7518684837</v>
      </c>
    </row>
    <row r="25" ht="15.75" customHeight="1">
      <c r="B25" s="161" t="s">
        <v>162</v>
      </c>
      <c r="C25" s="165"/>
      <c r="G25" s="162" t="n">
        <f t="shared" ref="G25:U25" si="2">G23+G24</f>
        <v>348024</v>
      </c>
      <c r="H25" s="162">
        <f t="shared" si="2"/>
        <v>427974</v>
      </c>
      <c r="I25" s="162">
        <f t="shared" si="2"/>
        <v>462580</v>
      </c>
      <c r="J25" s="162">
        <f t="shared" si="2"/>
        <v>561144</v>
      </c>
      <c r="K25" s="162">
        <f t="shared" si="2"/>
        <v>642490</v>
      </c>
      <c r="L25" s="163">
        <f t="shared" si="2"/>
        <v>683482.61754500004</v>
      </c>
      <c r="M25" s="163">
        <f t="shared" si="2"/>
        <v>723899.98902357498</v>
      </c>
      <c r="N25" s="163">
        <f t="shared" si="2"/>
        <v>766384.67767856293</v>
      </c>
      <c r="O25" s="163">
        <f t="shared" si="2"/>
        <v>807802.39060274465</v>
      </c>
      <c r="P25" s="163">
        <f t="shared" si="2"/>
        <v>847700.98287449125</v>
      </c>
      <c r="Q25" s="163">
        <f t="shared" si="2"/>
        <v>886020.82555533049</v>
      </c>
      <c r="R25" s="163">
        <f t="shared" si="2"/>
        <v>921988.20063928422</v>
      </c>
      <c r="S25" s="163">
        <f t="shared" si="2"/>
        <v>954310.19198047719</v>
      </c>
      <c r="T25" s="163">
        <f t="shared" si="2"/>
        <v>987195.55296955886</v>
      </c>
      <c r="U25" s="163">
        <f t="shared" si="2"/>
        <v>1015836.8882934639</v>
      </c>
    </row>
    <row r="26" ht="15.75" customHeight="1">
      <c r="C26" s="165"/>
      <c r="G26" s="159"/>
      <c r="H26" s="159"/>
      <c r="I26" s="159"/>
      <c r="J26" s="159"/>
      <c r="K26" s="159"/>
      <c r="L26" s="157"/>
      <c r="M26" s="157"/>
      <c r="N26" s="157"/>
      <c r="O26" s="157"/>
      <c r="P26" s="157"/>
      <c r="Q26" s="157"/>
      <c r="R26" s="157"/>
      <c r="S26" s="157"/>
      <c r="T26" s="157"/>
      <c r="U26" s="157"/>
    </row>
    <row r="27" ht="15.75" customHeight="1">
      <c r="B27" s="161" t="s">
        <v>270</v>
      </c>
      <c r="C27" s="165"/>
      <c r="G27" s="159"/>
      <c r="H27" s="159"/>
      <c r="I27" s="159"/>
      <c r="J27" s="159"/>
      <c r="K27" s="159"/>
      <c r="L27" s="157"/>
      <c r="M27" s="157"/>
      <c r="N27" s="157"/>
      <c r="O27" s="157"/>
      <c r="P27" s="157"/>
      <c r="Q27" s="157"/>
      <c r="R27" s="157"/>
      <c r="S27" s="157"/>
      <c r="T27" s="157"/>
      <c r="U27" s="157"/>
    </row>
    <row r="28" ht="15.75" customHeight="1">
      <c r="C28" s="165" t="s">
        <v>288</v>
      </c>
      <c r="G28" s="159" t="n">
        <f>'Revenue Recognition'!G41</f>
        <v>573632</v>
      </c>
      <c r="H28" s="159" t="n">
        <f>'Revenue Recognition'!H41</f>
        <v>517842</v>
      </c>
      <c r="I28" s="159" t="n">
        <f>'Revenue Recognition'!I41</f>
        <v>538903</v>
      </c>
      <c r="J28" s="159" t="n">
        <f>'Revenue Recognition'!J41</f>
        <v>563311</v>
      </c>
      <c r="K28" s="159" t="n">
        <f>'Revenue Recognition'!K41</f>
        <v>592690</v>
      </c>
      <c r="L28" s="160" t="n">
        <f t="array" ref="L28">K28*(1+(_xlfn.IFS($E$8=Scenarios!$B$8,Scenarios!L21,$E$8=Scenarios!$B$35,Scenarios!L48,$E$8=Scenarios!$B$62,Scenarios!L75)))</f>
        <v>622324.5</v>
      </c>
      <c r="M28" s="160" t="n">
        <f t="array" ref="M28">L28*(1+(_xlfn.IFS($E$8=Scenarios!$B$8,Scenarios!M21,$E$8=Scenarios!$B$35,Scenarios!M48,$E$8=Scenarios!$B$62,Scenarios!M75)))</f>
        <v>653440.725</v>
      </c>
      <c r="N28" s="160" t="n">
        <f t="array" ref="N28">M28*(1+(_xlfn.IFS($E$8=Scenarios!$B$8,Scenarios!N21,$E$8=Scenarios!$B$35,Scenarios!N48,$E$8=Scenarios!$B$62,Scenarios!N75)))</f>
        <v>686112.76125</v>
      </c>
      <c r="O28" s="160" t="n">
        <f t="array" ref="O28">N28*(1+(_xlfn.IFS($E$8=Scenarios!$B$8,Scenarios!O21,$E$8=Scenarios!$B$35,Scenarios!O48,$E$8=Scenarios!$B$62,Scenarios!O75)))</f>
        <v>720418.3993125</v>
      </c>
      <c r="P28" s="160" t="n">
        <f t="array" ref="P28">O28*(1+(_xlfn.IFS($E$8=Scenarios!$B$8,Scenarios!P21,$E$8=Scenarios!$B$35,Scenarios!P48,$E$8=Scenarios!$B$62,Scenarios!P75)))</f>
        <v>756439.3192781251</v>
      </c>
      <c r="Q28" s="160" t="n">
        <f t="array" ref="Q28">P28*(1+(_xlfn.IFS($E$8=Scenarios!$B$8,Scenarios!Q21,$E$8=Scenarios!$B$35,Scenarios!Q48,$E$8=Scenarios!$B$62,Scenarios!Q75)))</f>
        <v>794261.2852420313</v>
      </c>
      <c r="R28" s="160" t="n">
        <f t="array" ref="R28">Q28*(1+(_xlfn.IFS($E$8=Scenarios!$B$8,Scenarios!R21,$E$8=Scenarios!$B$35,Scenarios!R48,$E$8=Scenarios!$B$62,Scenarios!R75)))</f>
        <v>833974.349504133</v>
      </c>
      <c r="S28" s="160" t="n">
        <f t="array" ref="S28">R28*(1+(_xlfn.IFS($E$8=Scenarios!$B$8,Scenarios!S21,$E$8=Scenarios!$B$35,Scenarios!S48,$E$8=Scenarios!$B$62,Scenarios!S75)))</f>
        <v>875673.0669793397</v>
      </c>
      <c r="T28" s="160" t="n">
        <f t="array" ref="T28">S28*(1+(_xlfn.IFS($E$8=Scenarios!$B$8,Scenarios!T21,$E$8=Scenarios!$B$35,Scenarios!T48,$E$8=Scenarios!$B$62,Scenarios!T75)))</f>
        <v>919456.7203283067</v>
      </c>
      <c r="U28" s="160" t="n">
        <f t="array" ref="U28">T28*(1+(_xlfn.IFS($E$8=Scenarios!$B$8,Scenarios!U21,$E$8=Scenarios!$B$35,Scenarios!U48,$E$8=Scenarios!$B$62,Scenarios!U75)))</f>
        <v>965429.556344722</v>
      </c>
    </row>
    <row r="29" ht="15.75" customHeight="1">
      <c r="B29" s="161"/>
      <c r="C29" s="413" t="s">
        <v>170</v>
      </c>
      <c r="D29" s="413"/>
      <c r="E29" s="413"/>
      <c r="F29" s="413"/>
      <c r="G29" s="159" t="n">
        <f>'Revenue Recognition'!G42</f>
        <v>194472</v>
      </c>
      <c r="H29" s="159" t="n">
        <f>'Revenue Recognition'!H42</f>
        <v>257730</v>
      </c>
      <c r="I29" s="159" t="n">
        <f>'Revenue Recognition'!I42</f>
        <v>342656</v>
      </c>
      <c r="J29" s="159" t="n">
        <f>'Revenue Recognition'!J42</f>
        <v>330781</v>
      </c>
      <c r="K29" s="159" t="n">
        <f>'Revenue Recognition'!K42</f>
        <v>326171</v>
      </c>
      <c r="L29" s="160" t="n">
        <f>_xlfn.IFS($P$8="Growth Assumptions",K29*(1+(_xlfn.IFS($E$8=Scenarios!$B$8,Scenarios!L22,$E$8=Scenarios!$B$35,Scenarios!L49,$E$8=Scenarios!$B$62,Scenarios!L76))),$P$8="Capex &amp; D&amp;A Schedule",'Capex &amp; D&amp;A Schedule'!L18)</f>
        <v>345496.70777</v>
      </c>
      <c r="M29" s="160" t="n">
        <f>_xlfn.IFS($P$8="Growth Assumptions",L29*(1+(_xlfn.IFS($E$8=Scenarios!$B$8,Scenarios!M22,$E$8=Scenarios!$B$35,Scenarios!M49,$E$8=Scenarios!$B$62,Scenarios!M76))),$P$8="Capex &amp; D&amp;A Schedule",'Capex &amp; D&amp;A Schedule'!M18)</f>
        <v>365927.46697894996</v>
      </c>
      <c r="N29" s="160" t="n">
        <f>_xlfn.IFS($P$8="Growth Assumptions",M29*(1+(_xlfn.IFS($E$8=Scenarios!$B$8,Scenarios!N22,$E$8=Scenarios!$B$35,Scenarios!N49,$E$8=Scenarios!$B$62,Scenarios!N76))),$P$8="Capex &amp; D&amp;A Schedule",'Capex &amp; D&amp;A Schedule'!N18)</f>
        <v>387403.24366169114</v>
      </c>
      <c r="O29" s="160" t="n">
        <f>_xlfn.IFS($P$8="Growth Assumptions",N29*(1+(_xlfn.IFS($E$8=Scenarios!$B$8,Scenarios!O22,$E$8=Scenarios!$B$35,Scenarios!O49,$E$8=Scenarios!$B$62,Scenarios!O76))),$P$8="Capex &amp; D&amp;A Schedule",'Capex &amp; D&amp;A Schedule'!O18)</f>
        <v>408339.6699750138</v>
      </c>
      <c r="P29" s="160" t="n">
        <f>_xlfn.IFS($P$8="Growth Assumptions",O29*(1+(_xlfn.IFS($E$8=Scenarios!$B$8,Scenarios!P22,$E$8=Scenarios!$B$35,Scenarios!P49,$E$8=Scenarios!$B$62,Scenarios!P76))),$P$8="Capex &amp; D&amp;A Schedule",'Capex &amp; D&amp;A Schedule'!P18)</f>
        <v>428508.1891453472</v>
      </c>
      <c r="Q29" s="160" t="n">
        <f>_xlfn.IFS($P$8="Growth Assumptions",P29*(1+(_xlfn.IFS($E$8=Scenarios!$B$8,Scenarios!Q22,$E$8=Scenarios!$B$35,Scenarios!Q49,$E$8=Scenarios!$B$62,Scenarios!Q76))),$P$8="Capex &amp; D&amp;A Schedule",'Capex &amp; D&amp;A Schedule'!Q18)</f>
        <v>447878.65907192527</v>
      </c>
      <c r="R29" s="160" t="n">
        <f>_xlfn.IFS($P$8="Growth Assumptions",Q29*(1+(_xlfn.IFS($E$8=Scenarios!$B$8,Scenarios!R22,$E$8=Scenarios!$B$35,Scenarios!R49,$E$8=Scenarios!$B$62,Scenarios!R76))),$P$8="Capex &amp; D&amp;A Schedule",'Capex &amp; D&amp;A Schedule'!R18)</f>
        <v>466059.9695539239</v>
      </c>
      <c r="S29" s="160" t="n">
        <f>_xlfn.IFS($P$8="Growth Assumptions",R29*(1+(_xlfn.IFS($E$8=Scenarios!$B$8,Scenarios!S22,$E$8=Scenarios!$B$35,Scenarios!S49,$E$8=Scenarios!$B$62,Scenarios!S76))),$P$8="Capex &amp; D&amp;A Schedule",'Capex &amp; D&amp;A Schedule'!S18)</f>
        <v>482398.5585835379</v>
      </c>
      <c r="T29" s="160" t="n">
        <f>_xlfn.IFS($P$8="Growth Assumptions",S29*(1+(_xlfn.IFS($E$8=Scenarios!$B$8,Scenarios!T22,$E$8=Scenarios!$B$35,Scenarios!T49,$E$8=Scenarios!$B$62,Scenarios!T76))),$P$8="Capex &amp; D&amp;A Schedule",'Capex &amp; D&amp;A Schedule'!T18)</f>
        <v>499021.92787472205</v>
      </c>
      <c r="U29" s="160" t="n">
        <f>_xlfn.IFS($P$8="Growth Assumptions",T29*(1+(_xlfn.IFS($E$8=Scenarios!$B$8,Scenarios!U22,$E$8=Scenarios!$B$35,Scenarios!U49,$E$8=Scenarios!$B$62,Scenarios!U76))),$P$8="Capex &amp; D&amp;A Schedule",'Capex &amp; D&amp;A Schedule'!U18)</f>
        <v>513499.9655109817</v>
      </c>
    </row>
    <row r="30" ht="15.75" customHeight="1">
      <c r="B30" s="161" t="s">
        <v>171</v>
      </c>
      <c r="C30" s="165"/>
      <c r="G30" s="162" t="n">
        <f t="shared" ref="G30:U30" si="3">G28+G29</f>
        <v>768104</v>
      </c>
      <c r="H30" s="162">
        <f t="shared" si="3"/>
        <v>775572</v>
      </c>
      <c r="I30" s="162">
        <f t="shared" si="3"/>
        <v>881559</v>
      </c>
      <c r="J30" s="162">
        <f t="shared" si="3"/>
        <v>894092</v>
      </c>
      <c r="K30" s="162">
        <f t="shared" si="3"/>
        <v>918861</v>
      </c>
      <c r="L30" s="163">
        <f t="shared" si="3"/>
        <v>967821.20776999998</v>
      </c>
      <c r="M30" s="163">
        <f t="shared" si="3"/>
        <v>1019368.1919789499</v>
      </c>
      <c r="N30" s="163">
        <f t="shared" si="3"/>
        <v>1073516.0049116912</v>
      </c>
      <c r="O30" s="163">
        <f t="shared" si="3"/>
        <v>1128758.0692875138</v>
      </c>
      <c r="P30" s="163">
        <f t="shared" si="3"/>
        <v>1184947.5084234723</v>
      </c>
      <c r="Q30" s="163">
        <f t="shared" si="3"/>
        <v>1242139.9443139567</v>
      </c>
      <c r="R30" s="163">
        <f t="shared" si="3"/>
        <v>1300034.3190580569</v>
      </c>
      <c r="S30" s="163">
        <f t="shared" si="3"/>
        <v>1358071.6255628776</v>
      </c>
      <c r="T30" s="163">
        <f t="shared" si="3"/>
        <v>1418478.6482030288</v>
      </c>
      <c r="U30" s="163">
        <f t="shared" si="3"/>
        <v>1478929.5218557038</v>
      </c>
    </row>
    <row r="31" ht="15.75" customHeight="1">
      <c r="G31" s="166"/>
      <c r="H31" s="166"/>
      <c r="I31" s="166"/>
      <c r="J31" s="166"/>
      <c r="K31" s="166"/>
      <c r="L31" s="157"/>
      <c r="M31" s="157"/>
      <c r="N31" s="157"/>
      <c r="O31" s="157"/>
      <c r="P31" s="157"/>
      <c r="Q31" s="157"/>
      <c r="R31" s="157"/>
      <c r="S31" s="157"/>
      <c r="T31" s="157"/>
      <c r="U31" s="157"/>
    </row>
    <row r="32" ht="15.75" customHeight="1">
      <c r="B32" s="161" t="s">
        <v>273</v>
      </c>
      <c r="G32" s="166"/>
      <c r="H32" s="166"/>
      <c r="I32" s="166"/>
      <c r="J32" s="166"/>
      <c r="K32" s="166"/>
      <c r="L32" s="157"/>
      <c r="M32" s="157"/>
      <c r="N32" s="157"/>
      <c r="O32" s="157"/>
      <c r="P32" s="157"/>
      <c r="Q32" s="157"/>
      <c r="R32" s="157"/>
      <c r="S32" s="157"/>
      <c r="T32" s="157"/>
      <c r="U32" s="157"/>
    </row>
    <row r="33" ht="15.75" customHeight="1">
      <c r="C33" s="165" t="s">
        <v>63</v>
      </c>
      <c r="G33" s="159" t="n">
        <f>'Historical Income Statement'!G13</f>
        <v>5561</v>
      </c>
      <c r="H33" s="159" t="n">
        <f>'Historical Income Statement'!H13</f>
        <v>21548</v>
      </c>
      <c r="I33" s="159" t="n">
        <f>'Historical Income Statement'!I13</f>
        <v>18898</v>
      </c>
      <c r="J33" s="159" t="n">
        <f>'Historical Income Statement'!J13</f>
        <v>12443</v>
      </c>
      <c r="K33" s="159" t="n">
        <f>'Historical Income Statement'!K13</f>
        <v>34302</v>
      </c>
      <c r="L33" s="160" t="n">
        <f t="array" ref="L33">L15*(_xlfn.IFS($E$8=Scenarios!$B$8,Scenarios!L24,$E$8=Scenarios!$B$35,Scenarios!L51,$E$8=Scenarios!$B$62,Scenarios!L78))</f>
        <v>30043.19198</v>
      </c>
      <c r="M33" s="160" t="n">
        <f t="array" ref="M33">M15*(_xlfn.IFS($E$8=Scenarios!$B$8,Scenarios!M24,$E$8=Scenarios!$B$35,Scenarios!M51,$E$8=Scenarios!$B$62,Scenarios!M78))</f>
        <v>31819.7797373</v>
      </c>
      <c r="N33" s="160" t="n">
        <f t="array" ref="N33">N15*(_xlfn.IFS($E$8=Scenarios!$B$8,Scenarios!N24,$E$8=Scenarios!$B$35,Scenarios!N51,$E$8=Scenarios!$B$62,Scenarios!N78))</f>
        <v>33687.238579277495</v>
      </c>
      <c r="O33" s="160" t="n">
        <f t="array" ref="O33">O15*(_xlfn.IFS($E$8=Scenarios!$B$8,Scenarios!O24,$E$8=Scenarios!$B$35,Scenarios!O51,$E$8=Scenarios!$B$62,Scenarios!O78))</f>
        <v>35507.797389131636</v>
      </c>
      <c r="P33" s="160" t="n">
        <f t="array" ref="P33">P15*(_xlfn.IFS($E$8=Scenarios!$B$8,Scenarios!P24,$E$8=Scenarios!$B$35,Scenarios!P51,$E$8=Scenarios!$B$62,Scenarios!P78))</f>
        <v>37261.5816648128</v>
      </c>
      <c r="Q33" s="160" t="n">
        <f t="array" ref="Q33">Q15*(_xlfn.IFS($E$8=Scenarios!$B$8,Scenarios!Q24,$E$8=Scenarios!$B$35,Scenarios!Q51,$E$8=Scenarios!$B$62,Scenarios!Q78))</f>
        <v>38945.97035408046</v>
      </c>
      <c r="R33" s="160" t="n">
        <f t="array" ref="R33">R15*(_xlfn.IFS($E$8=Scenarios!$B$8,Scenarios!R24,$E$8=Scenarios!$B$35,Scenarios!R51,$E$8=Scenarios!$B$62,Scenarios!R78))</f>
        <v>40526.95387425425</v>
      </c>
      <c r="S33" s="160" t="n">
        <f t="array" ref="S33">S15*(_xlfn.IFS($E$8=Scenarios!$B$8,Scenarios!S24,$E$8=Scenarios!$B$35,Scenarios!S51,$E$8=Scenarios!$B$62,Scenarios!S78))</f>
        <v>41947.7007463946</v>
      </c>
      <c r="T33" s="160" t="n">
        <f t="array" ref="T33">T15*(_xlfn.IFS($E$8=Scenarios!$B$8,Scenarios!T24,$E$8=Scenarios!$B$35,Scenarios!T51,$E$8=Scenarios!$B$62,Scenarios!T78))</f>
        <v>43393.21111954105</v>
      </c>
      <c r="U33" s="160" t="n">
        <f t="array" ref="U33">U15*(_xlfn.IFS($E$8=Scenarios!$B$8,Scenarios!U24,$E$8=Scenarios!$B$35,Scenarios!U51,$E$8=Scenarios!$B$62,Scenarios!U78))</f>
        <v>44652.17091399841</v>
      </c>
    </row>
    <row r="34" ht="15.75" customHeight="1">
      <c r="C34" s="165" t="s">
        <v>109</v>
      </c>
      <c r="G34" s="159" t="n">
        <f>'Historical Income Statement'!G14</f>
        <v>6896</v>
      </c>
      <c r="H34" s="159" t="n">
        <f>'Historical Income Statement'!H14</f>
        <v>6175</v>
      </c>
      <c r="I34" s="159" t="n">
        <f>'Historical Income Statement'!I14</f>
        <v>6137</v>
      </c>
      <c r="J34" s="159" t="n">
        <f>'Historical Income Statement'!J14</f>
        <v>8245</v>
      </c>
      <c r="K34" s="159" t="n">
        <f>'Historical Income Statement'!K14</f>
        <v>12572</v>
      </c>
      <c r="L34" s="160" t="n">
        <f t="array" ref="L34">K34*(1+(_xlfn.IFS($E$8=Scenarios!$B$8,Scenarios!L25,$E$8=Scenarios!$B$35,Scenarios!L52,$E$8=Scenarios!$B$62,Scenarios!L79)))</f>
        <v>13200.6</v>
      </c>
      <c r="M34" s="160" t="n">
        <f t="array" ref="M34">L34*(1+(_xlfn.IFS($E$8=Scenarios!$B$8,Scenarios!M25,$E$8=Scenarios!$B$35,Scenarios!M52,$E$8=Scenarios!$B$62,Scenarios!M79)))</f>
        <v>13860.630000000001</v>
      </c>
      <c r="N34" s="160" t="n">
        <f t="array" ref="N34">M34*(1+(_xlfn.IFS($E$8=Scenarios!$B$8,Scenarios!N25,$E$8=Scenarios!$B$35,Scenarios!N52,$E$8=Scenarios!$B$62,Scenarios!N79)))</f>
        <v>14553.661500000002</v>
      </c>
      <c r="O34" s="160" t="n">
        <f t="array" ref="O34">N34*(1+(_xlfn.IFS($E$8=Scenarios!$B$8,Scenarios!O25,$E$8=Scenarios!$B$35,Scenarios!O52,$E$8=Scenarios!$B$62,Scenarios!O79)))</f>
        <v>15281.344575000003</v>
      </c>
      <c r="P34" s="160" t="n">
        <f t="array" ref="P34">O34*(1+(_xlfn.IFS($E$8=Scenarios!$B$8,Scenarios!P25,$E$8=Scenarios!$B$35,Scenarios!P52,$E$8=Scenarios!$B$62,Scenarios!P79)))</f>
        <v>16045.411803750003</v>
      </c>
      <c r="Q34" s="160" t="n">
        <f t="array" ref="Q34">P34*(1+(_xlfn.IFS($E$8=Scenarios!$B$8,Scenarios!Q25,$E$8=Scenarios!$B$35,Scenarios!Q52,$E$8=Scenarios!$B$62,Scenarios!Q79)))</f>
        <v>16847.682393937503</v>
      </c>
      <c r="R34" s="160" t="n">
        <f t="array" ref="R34">Q34*(1+(_xlfn.IFS($E$8=Scenarios!$B$8,Scenarios!R25,$E$8=Scenarios!$B$35,Scenarios!R52,$E$8=Scenarios!$B$62,Scenarios!R79)))</f>
        <v>17690.066513634378</v>
      </c>
      <c r="S34" s="160" t="n">
        <f t="array" ref="S34">R34*(1+(_xlfn.IFS($E$8=Scenarios!$B$8,Scenarios!S25,$E$8=Scenarios!$B$35,Scenarios!S52,$E$8=Scenarios!$B$62,Scenarios!S79)))</f>
        <v>18574.569839316096</v>
      </c>
      <c r="T34" s="160" t="n">
        <f t="array" ref="T34">S34*(1+(_xlfn.IFS($E$8=Scenarios!$B$8,Scenarios!T25,$E$8=Scenarios!$B$35,Scenarios!T52,$E$8=Scenarios!$B$62,Scenarios!T79)))</f>
        <v>19503.2983312819</v>
      </c>
      <c r="U34" s="160" t="n">
        <f t="array" ref="U34">T34*(1+(_xlfn.IFS($E$8=Scenarios!$B$8,Scenarios!U25,$E$8=Scenarios!$B$35,Scenarios!U52,$E$8=Scenarios!$B$62,Scenarios!U79)))</f>
        <v>20478.463247845997</v>
      </c>
    </row>
    <row r="35" ht="15.75" customHeight="1">
      <c r="G35" s="166"/>
      <c r="H35" s="166"/>
      <c r="I35" s="166"/>
      <c r="J35" s="166"/>
      <c r="K35" s="166"/>
      <c r="L35" s="157"/>
      <c r="M35" s="157"/>
      <c r="N35" s="157"/>
      <c r="O35" s="157"/>
      <c r="P35" s="157"/>
      <c r="Q35" s="157"/>
      <c r="R35" s="157"/>
      <c r="S35" s="157"/>
      <c r="T35" s="157"/>
      <c r="U35" s="157"/>
    </row>
    <row r="36" ht="15.75" customHeight="1">
      <c r="B36" s="161" t="s">
        <v>276</v>
      </c>
      <c r="G36" s="166"/>
      <c r="H36" s="166"/>
      <c r="I36" s="166"/>
      <c r="J36" s="166"/>
      <c r="K36" s="166"/>
      <c r="L36" s="157"/>
      <c r="M36" s="157"/>
      <c r="N36" s="157"/>
      <c r="O36" s="157"/>
      <c r="P36" s="157"/>
      <c r="Q36" s="157"/>
      <c r="R36" s="157"/>
      <c r="S36" s="157"/>
      <c r="T36" s="157"/>
      <c r="U36" s="157"/>
    </row>
    <row r="37" ht="15.75" customHeight="1">
      <c r="B37" s="161" t="s">
        <v>277</v>
      </c>
      <c r="G37" s="162" t="n">
        <f t="shared" ref="G37:U37" si="4">G15-G22-G25-G30-G33+G34</f>
        <v>1075488</v>
      </c>
      <c r="H37" s="162">
        <f t="shared" si="4"/>
        <v>1227382</v>
      </c>
      <c r="I37" s="162">
        <f t="shared" si="4"/>
        <v>1617369</v>
      </c>
      <c r="J37" s="162">
        <f t="shared" si="4"/>
        <v>1887751</v>
      </c>
      <c r="K37" s="162">
        <f t="shared" si="4"/>
        <v>2109716</v>
      </c>
      <c r="L37" s="163">
        <f t="shared" si="4"/>
        <v>2237468.5401050001</v>
      </c>
      <c r="M37" s="163">
        <f t="shared" si="4"/>
        <v>2383298.9800434997</v>
      </c>
      <c r="N37" s="163">
        <f t="shared" si="4"/>
        <v>2537150.3749261815</v>
      </c>
      <c r="O37" s="163">
        <f t="shared" si="4"/>
        <v>2685857.5959245716</v>
      </c>
      <c r="P37" s="163">
        <f t="shared" si="4"/>
        <v>2827402.5369314514</v>
      </c>
      <c r="Q37" s="163">
        <f t="shared" si="4"/>
        <v>2951663.0585551108</v>
      </c>
      <c r="R37" s="163">
        <f t="shared" si="4"/>
        <v>3064171.5504693459</v>
      </c>
      <c r="S37" s="163">
        <f t="shared" si="4"/>
        <v>3159393.8493272592</v>
      </c>
      <c r="T37" s="163">
        <f t="shared" si="4"/>
        <v>3254946.5426990311</v>
      </c>
      <c r="U37" s="163">
        <f t="shared" si="4"/>
        <v>3330494.2719184724</v>
      </c>
      <c r="AA37" s="152"/>
      <c r="AB37" s="152"/>
      <c r="AC37" s="152"/>
      <c r="AD37" s="152"/>
      <c r="AE37" s="152"/>
      <c r="AF37" s="152"/>
      <c r="AG37" s="152"/>
    </row>
    <row r="38" ht="15.75" customHeight="1">
      <c r="C38" s="413" t="s">
        <v>289</v>
      </c>
      <c r="D38" s="413"/>
      <c r="E38" s="413"/>
      <c r="F38" s="413"/>
      <c r="G38" s="159" t="n">
        <f>'Historical Income Statement'!G16-G29</f>
        <v>261517</v>
      </c>
      <c r="H38" s="159" t="n">
        <f>'Historical Income Statement'!H16-H29</f>
        <v>288495</v>
      </c>
      <c r="I38" s="159" t="n">
        <f>'Historical Income Statement'!I16-I29</f>
        <v>319649</v>
      </c>
      <c r="J38" s="159" t="n">
        <f>'Historical Income Statement'!J16-J29</f>
        <v>335996</v>
      </c>
      <c r="K38" s="159" t="n">
        <f>'Historical Income Statement'!K16-K29</f>
        <v>335766</v>
      </c>
      <c r="L38" s="160" t="n">
        <f>_xlfn.IFS($P$8="Growth Assumptions",K38*(1+(_xlfn.IFS($E$8=Scenarios!$B$8,Scenarios!L28,$E$8=Scenarios!$B$35,Scenarios!L55,$E$8=Scenarios!$B$62,Scenarios!L82))),$P$8="Capex &amp; D&amp;A Schedule",'Capex &amp; D&amp;A Schedule'!L20)</f>
        <v>353007.505765</v>
      </c>
      <c r="M38" s="160" t="n">
        <f>_xlfn.IFS($P$8="Growth Assumptions",L38*(1+(_xlfn.IFS($E$8=Scenarios!$B$8,Scenarios!M28,$E$8=Scenarios!$B$35,Scenarios!M55,$E$8=Scenarios!$B$62,Scenarios!M82))),$P$8="Capex &amp; D&amp;A Schedule",'Capex &amp; D&amp;A Schedule'!M20)</f>
        <v>381837.35684759996</v>
      </c>
      <c r="N38" s="160" t="n">
        <f>_xlfn.IFS($P$8="Growth Assumptions",M38*(1+(_xlfn.IFS($E$8=Scenarios!$B$8,Scenarios!N28,$E$8=Scenarios!$B$35,Scenarios!N55,$E$8=Scenarios!$B$62,Scenarios!N82))),$P$8="Capex &amp; D&amp;A Schedule",'Capex &amp; D&amp;A Schedule'!N20)</f>
        <v>412668.6725961493</v>
      </c>
      <c r="O38" s="160" t="n">
        <f>_xlfn.IFS($P$8="Growth Assumptions",N38*(1+(_xlfn.IFS($E$8=Scenarios!$B$8,Scenarios!O28,$E$8=Scenarios!$B$35,Scenarios!O55,$E$8=Scenarios!$B$62,Scenarios!O82))),$P$8="Capex &amp; D&amp;A Schedule",'Capex &amp; D&amp;A Schedule'!O20)</f>
        <v>452724.4167114283</v>
      </c>
      <c r="P38" s="160" t="n">
        <f>_xlfn.IFS($P$8="Growth Assumptions",O38*(1+(_xlfn.IFS($E$8=Scenarios!$B$8,Scenarios!P28,$E$8=Scenarios!$B$35,Scenarios!P55,$E$8=Scenarios!$B$62,Scenarios!P82))),$P$8="Capex &amp; D&amp;A Schedule",'Capex &amp; D&amp;A Schedule'!P20)</f>
        <v>484400.5616425664</v>
      </c>
      <c r="Q38" s="160" t="n">
        <f>_xlfn.IFS($P$8="Growth Assumptions",P38*(1+(_xlfn.IFS($E$8=Scenarios!$B$8,Scenarios!Q28,$E$8=Scenarios!$B$35,Scenarios!Q55,$E$8=Scenarios!$B$62,Scenarios!Q82))),$P$8="Capex &amp; D&amp;A Schedule",'Capex &amp; D&amp;A Schedule'!Q20)</f>
        <v>516034.1071915661</v>
      </c>
      <c r="R38" s="160" t="n">
        <f>_xlfn.IFS($P$8="Growth Assumptions",Q38*(1+(_xlfn.IFS($E$8=Scenarios!$B$8,Scenarios!R28,$E$8=Scenarios!$B$35,Scenarios!R55,$E$8=Scenarios!$B$62,Scenarios!R82))),$P$8="Capex &amp; D&amp;A Schedule",'Capex &amp; D&amp;A Schedule'!R20)</f>
        <v>547113.8773024323</v>
      </c>
      <c r="S38" s="160" t="n">
        <f>_xlfn.IFS($P$8="Growth Assumptions",R38*(1+(_xlfn.IFS($E$8=Scenarios!$B$8,Scenarios!S28,$E$8=Scenarios!$B$35,Scenarios!S55,$E$8=Scenarios!$B$62,Scenarios!S82))),$P$8="Capex &amp; D&amp;A Schedule",'Capex &amp; D&amp;A Schedule'!S20)</f>
        <v>587267.8104495243</v>
      </c>
      <c r="T38" s="160" t="n">
        <f>_xlfn.IFS($P$8="Growth Assumptions",S38*(1+(_xlfn.IFS($E$8=Scenarios!$B$8,Scenarios!T28,$E$8=Scenarios!$B$35,Scenarios!T55,$E$8=Scenarios!$B$62,Scenarios!T82))),$P$8="Capex &amp; D&amp;A Schedule",'Capex &amp; D&amp;A Schedule'!T20)</f>
        <v>618353.25845346</v>
      </c>
      <c r="U38" s="160" t="n">
        <f>_xlfn.IFS($P$8="Growth Assumptions",T38*(1+(_xlfn.IFS($E$8=Scenarios!$B$8,Scenarios!U28,$E$8=Scenarios!$B$35,Scenarios!U55,$E$8=Scenarios!$B$62,Scenarios!U82))),$P$8="Capex &amp; D&amp;A Schedule",'Capex &amp; D&amp;A Schedule'!U20)</f>
        <v>647456.478252977</v>
      </c>
    </row>
    <row r="39" ht="15.75" customHeight="1">
      <c r="B39" s="161" t="s">
        <v>67</v>
      </c>
      <c r="G39" s="162" t="n">
        <f t="shared" ref="G39:U39" si="5">G37+G38+G29</f>
        <v>1531477</v>
      </c>
      <c r="H39" s="162">
        <f t="shared" si="5"/>
        <v>1773607</v>
      </c>
      <c r="I39" s="162">
        <f t="shared" si="5"/>
        <v>2279674</v>
      </c>
      <c r="J39" s="162">
        <f t="shared" si="5"/>
        <v>2554528</v>
      </c>
      <c r="K39" s="162">
        <f t="shared" si="5"/>
        <v>2771653</v>
      </c>
      <c r="L39" s="163">
        <f t="shared" si="5"/>
        <v>2935972.7536399998</v>
      </c>
      <c r="M39" s="163">
        <f t="shared" si="5"/>
        <v>3131063.8038700498</v>
      </c>
      <c r="N39" s="163">
        <f t="shared" si="5"/>
        <v>3337222.2911840216</v>
      </c>
      <c r="O39" s="163">
        <f t="shared" si="5"/>
        <v>3546921.6826110138</v>
      </c>
      <c r="P39" s="163">
        <f t="shared" si="5"/>
        <v>3740311.2877193647</v>
      </c>
      <c r="Q39" s="163">
        <f t="shared" si="5"/>
        <v>3915575.8248186018</v>
      </c>
      <c r="R39" s="163">
        <f t="shared" si="5"/>
        <v>4077345.397325702</v>
      </c>
      <c r="S39" s="163">
        <f t="shared" si="5"/>
        <v>4229060.2183603216</v>
      </c>
      <c r="T39" s="163">
        <f t="shared" si="5"/>
        <v>4372321.7290272135</v>
      </c>
      <c r="U39" s="163">
        <f t="shared" si="5"/>
        <v>4491450.7156824311</v>
      </c>
      <c r="AA39" s="152"/>
    </row>
    <row r="40" ht="15.75" customHeight="1">
      <c r="C40" s="175" t="s">
        <v>68</v>
      </c>
      <c r="G40" s="159" t="n">
        <f>'Historical Income Statement'!G18</f>
        <v>33257</v>
      </c>
      <c r="H40" s="159" t="n">
        <f>'Historical Income Statement'!H18</f>
        <v>49616</v>
      </c>
      <c r="I40" s="159" t="n">
        <f>'Historical Income Statement'!I18</f>
        <v>15015</v>
      </c>
      <c r="J40" s="159" t="n">
        <f>'Historical Income Statement'!J18</f>
        <v>-1205</v>
      </c>
      <c r="K40" s="159" t="n">
        <f>'Historical Income Statement'!K18</f>
        <v>46081</v>
      </c>
      <c r="L40" s="167" t="n">
        <f>_xlfn.IFS($K$8="Scenario assumption",_xlfn.IFS($E$8=Scenarios!$B$8,Scenarios!L32,$E$8=Scenarios!$B$35,Scenarios!L59,$E$8=Scenarios!$B$62,Scenarios!L86),$K$8="Debt Schedule",'Debt Schedule'!L15)</f>
        <v>32960.935</v>
      </c>
      <c r="M40" s="167" t="n">
        <f>_xlfn.IFS($K$8="Scenario assumption",_xlfn.IFS($E$8=Scenarios!$B$8,Scenarios!M32,$E$8=Scenarios!$B$35,Scenarios!M59,$E$8=Scenarios!$B$62,Scenarios!M86),$K$8="Debt Schedule",'Debt Schedule'!M15)</f>
        <v>32293.77252105293</v>
      </c>
      <c r="N40" s="167" t="n">
        <f>_xlfn.IFS($K$8="Scenario assumption",_xlfn.IFS($E$8=Scenarios!$B$8,Scenarios!N32,$E$8=Scenarios!$B$35,Scenarios!N59,$E$8=Scenarios!$B$62,Scenarios!N86),$K$8="Debt Schedule",'Debt Schedule'!N15)</f>
        <v>30421.625744359182</v>
      </c>
      <c r="O40" s="167" t="n">
        <f>_xlfn.IFS($K$8="Scenario assumption",_xlfn.IFS($E$8=Scenarios!$B$8,Scenarios!O32,$E$8=Scenarios!$B$35,Scenarios!O59,$E$8=Scenarios!$B$62,Scenarios!O86),$K$8="Debt Schedule",'Debt Schedule'!O15)</f>
        <v>27321.159492052902</v>
      </c>
      <c r="P40" s="167" t="n">
        <f>_xlfn.IFS($K$8="Scenario assumption",_xlfn.IFS($E$8=Scenarios!$B$8,Scenarios!P32,$E$8=Scenarios!$B$35,Scenarios!P59,$E$8=Scenarios!$B$62,Scenarios!P86),$K$8="Debt Schedule",'Debt Schedule'!P15)</f>
        <v>22807.199374360942</v>
      </c>
      <c r="Q40" s="167" t="n">
        <f>_xlfn.IFS($K$8="Scenario assumption",_xlfn.IFS($E$8=Scenarios!$B$8,Scenarios!Q32,$E$8=Scenarios!$B$35,Scenarios!Q59,$E$8=Scenarios!$B$62,Scenarios!Q86),$K$8="Debt Schedule",'Debt Schedule'!Q15)</f>
        <v>17137.82812319407</v>
      </c>
      <c r="R40" s="167" t="n">
        <f>_xlfn.IFS($K$8="Scenario assumption",_xlfn.IFS($E$8=Scenarios!$B$8,Scenarios!R32,$E$8=Scenarios!$B$35,Scenarios!R59,$E$8=Scenarios!$B$62,Scenarios!R86),$K$8="Debt Schedule",'Debt Schedule'!R15)</f>
        <v>10438.960646955144</v>
      </c>
      <c r="S40" s="167" t="n">
        <f>_xlfn.IFS($K$8="Scenario assumption",_xlfn.IFS($E$8=Scenarios!$B$8,Scenarios!S32,$E$8=Scenarios!$B$35,Scenarios!S59,$E$8=Scenarios!$B$62,Scenarios!S86),$K$8="Debt Schedule",'Debt Schedule'!S15)</f>
        <v>2711.588143369416</v>
      </c>
      <c r="T40" s="167" t="n">
        <f>_xlfn.IFS($K$8="Scenario assumption",_xlfn.IFS($E$8=Scenarios!$B$8,Scenarios!T32,$E$8=Scenarios!$B$35,Scenarios!T59,$E$8=Scenarios!$B$62,Scenarios!T86),$K$8="Debt Schedule",'Debt Schedule'!T15)</f>
        <v>-6252.621438477268</v>
      </c>
      <c r="U40" s="167" t="n">
        <f>_xlfn.IFS($K$8="Scenario assumption",_xlfn.IFS($E$8=Scenarios!$B$8,Scenarios!U32,$E$8=Scenarios!$B$35,Scenarios!U59,$E$8=Scenarios!$B$62,Scenarios!U86),$K$8="Debt Schedule",'Debt Schedule'!U15)</f>
        <v>-16329.508649585543</v>
      </c>
    </row>
    <row r="41" ht="15.75" customHeight="1">
      <c r="B41" s="161" t="s">
        <v>290</v>
      </c>
      <c r="G41" s="162" t="n">
        <f t="shared" ref="G41:U41" si="6">G37-G40</f>
        <v>1042231</v>
      </c>
      <c r="H41" s="162">
        <f t="shared" si="6"/>
        <v>1177766</v>
      </c>
      <c r="I41" s="162">
        <f t="shared" si="6"/>
        <v>1602354</v>
      </c>
      <c r="J41" s="162">
        <f t="shared" si="6"/>
        <v>1888956</v>
      </c>
      <c r="K41" s="162">
        <f t="shared" si="6"/>
        <v>2063635</v>
      </c>
      <c r="L41" s="163">
        <f t="shared" si="6"/>
        <v>2204507.6051050001</v>
      </c>
      <c r="M41" s="163">
        <f t="shared" si="6"/>
        <v>2351005.2075224468</v>
      </c>
      <c r="N41" s="163">
        <f t="shared" si="6"/>
        <v>2506728.7491818224</v>
      </c>
      <c r="O41" s="163">
        <f t="shared" si="6"/>
        <v>2658536.4364325185</v>
      </c>
      <c r="P41" s="163">
        <f t="shared" si="6"/>
        <v>2804595.3375570904</v>
      </c>
      <c r="Q41" s="163">
        <f t="shared" si="6"/>
        <v>2934525.2304319167</v>
      </c>
      <c r="R41" s="163">
        <f t="shared" si="6"/>
        <v>3053732.5898223906</v>
      </c>
      <c r="S41" s="163">
        <f t="shared" si="6"/>
        <v>3156682.2611838896</v>
      </c>
      <c r="T41" s="163">
        <f t="shared" si="6"/>
        <v>3261199.1641375083</v>
      </c>
      <c r="U41" s="163">
        <f t="shared" si="6"/>
        <v>3346823.7805680581</v>
      </c>
    </row>
    <row r="42" ht="15.75" customHeight="1">
      <c r="C42" s="165" t="s">
        <v>106</v>
      </c>
      <c r="G42" s="159" t="n">
        <f>'Historical Income Statement'!G20</f>
        <v>209095</v>
      </c>
      <c r="H42" s="159" t="n">
        <f>'Historical Income Statement'!H20</f>
        <v>238472</v>
      </c>
      <c r="I42" s="159" t="n">
        <f>'Historical Income Statement'!I20</f>
        <v>344897</v>
      </c>
      <c r="J42" s="159" t="n">
        <f>'Historical Income Statement'!J20</f>
        <v>363043</v>
      </c>
      <c r="K42" s="159" t="n">
        <f>'Historical Income Statement'!K20</f>
        <v>464119</v>
      </c>
      <c r="L42" s="160" t="n">
        <f t="array" ref="L42">L41*(_xlfn.IFS($E$8=Scenarios!$B$8,Scenarios!L30,$E$8=Scenarios!$B$35,Scenarios!L57,$E$8=Scenarios!$B$62,Scenarios!L84))</f>
        <v>496014.211148625</v>
      </c>
      <c r="M42" s="160" t="n">
        <f t="array" ref="M42">M41*(_xlfn.IFS($E$8=Scenarios!$B$8,Scenarios!M30,$E$8=Scenarios!$B$35,Scenarios!M57,$E$8=Scenarios!$B$62,Scenarios!M84))</f>
        <v>528976.1716925505</v>
      </c>
      <c r="N42" s="160" t="n">
        <f t="array" ref="N42">N41*(_xlfn.IFS($E$8=Scenarios!$B$8,Scenarios!N30,$E$8=Scenarios!$B$35,Scenarios!N57,$E$8=Scenarios!$B$62,Scenarios!N84))</f>
        <v>564013.96856591</v>
      </c>
      <c r="O42" s="160" t="n">
        <f t="array" ref="O42">O41*(_xlfn.IFS($E$8=Scenarios!$B$8,Scenarios!O30,$E$8=Scenarios!$B$35,Scenarios!O57,$E$8=Scenarios!$B$62,Scenarios!O84))</f>
        <v>598170.6981973167</v>
      </c>
      <c r="P42" s="160" t="n">
        <f t="array" ref="P42">P41*(_xlfn.IFS($E$8=Scenarios!$B$8,Scenarios!P30,$E$8=Scenarios!$B$35,Scenarios!P57,$E$8=Scenarios!$B$62,Scenarios!P84))</f>
        <v>631033.9509503454</v>
      </c>
      <c r="Q42" s="160" t="n">
        <f t="array" ref="Q42">Q41*(_xlfn.IFS($E$8=Scenarios!$B$8,Scenarios!Q30,$E$8=Scenarios!$B$35,Scenarios!Q57,$E$8=Scenarios!$B$62,Scenarios!Q84))</f>
        <v>660268.1768471813</v>
      </c>
      <c r="R42" s="160" t="n">
        <f t="array" ref="R42">R41*(_xlfn.IFS($E$8=Scenarios!$B$8,Scenarios!R30,$E$8=Scenarios!$B$35,Scenarios!R57,$E$8=Scenarios!$B$62,Scenarios!R84))</f>
        <v>687089.8327100379</v>
      </c>
      <c r="S42" s="160" t="n">
        <f t="array" ref="S42">S41*(_xlfn.IFS($E$8=Scenarios!$B$8,Scenarios!S30,$E$8=Scenarios!$B$35,Scenarios!S57,$E$8=Scenarios!$B$62,Scenarios!S84))</f>
        <v>710253.5087663751</v>
      </c>
      <c r="T42" s="160" t="n">
        <f t="array" ref="T42">T41*(_xlfn.IFS($E$8=Scenarios!$B$8,Scenarios!T30,$E$8=Scenarios!$B$35,Scenarios!T57,$E$8=Scenarios!$B$62,Scenarios!T84))</f>
        <v>733769.8119309393</v>
      </c>
      <c r="U42" s="160" t="n">
        <f t="array" ref="U42">U41*(_xlfn.IFS($E$8=Scenarios!$B$8,Scenarios!U30,$E$8=Scenarios!$B$35,Scenarios!U57,$E$8=Scenarios!$B$62,Scenarios!U84))</f>
        <v>753035.3506278131</v>
      </c>
    </row>
    <row r="43" ht="15.75" customHeight="1">
      <c r="B43" s="161" t="s">
        <v>105</v>
      </c>
      <c r="G43" s="162" t="n">
        <f t="shared" ref="G43:U43" si="7">G41-G42</f>
        <v>833136</v>
      </c>
      <c r="H43" s="162">
        <f t="shared" si="7"/>
        <v>939294</v>
      </c>
      <c r="I43" s="162">
        <f t="shared" si="7"/>
        <v>1257457</v>
      </c>
      <c r="J43" s="162">
        <f t="shared" si="7"/>
        <v>1525913</v>
      </c>
      <c r="K43" s="162">
        <f t="shared" si="7"/>
        <v>1599516</v>
      </c>
      <c r="L43" s="163">
        <f t="shared" si="7"/>
        <v>1708493.3939563751</v>
      </c>
      <c r="M43" s="163">
        <f t="shared" si="7"/>
        <v>1822029.0358298961</v>
      </c>
      <c r="N43" s="163">
        <f t="shared" si="7"/>
        <v>1942714.7806159123</v>
      </c>
      <c r="O43" s="163">
        <f t="shared" si="7"/>
        <v>2060365.7382352017</v>
      </c>
      <c r="P43" s="163">
        <f t="shared" si="7"/>
        <v>2173561.386606745</v>
      </c>
      <c r="Q43" s="163">
        <f t="shared" si="7"/>
        <v>2274257.0535847354</v>
      </c>
      <c r="R43" s="163">
        <f t="shared" si="7"/>
        <v>2366642.7571123526</v>
      </c>
      <c r="S43" s="163">
        <f t="shared" si="7"/>
        <v>2446428.7524175146</v>
      </c>
      <c r="T43" s="163">
        <f t="shared" si="7"/>
        <v>2527429.3522065692</v>
      </c>
      <c r="U43" s="163">
        <f t="shared" si="7"/>
        <v>2593788.4299402451</v>
      </c>
    </row>
    <row r="45" ht="15.75" customHeight="1">
      <c r="B45" s="161"/>
    </row>
    <row r="46" ht="15.75" customHeight="1">
      <c r="C46" s="165"/>
      <c r="G46" s="168"/>
      <c r="H46" s="168"/>
      <c r="I46" s="168"/>
      <c r="J46" s="168"/>
      <c r="K46" s="168"/>
    </row>
    <row r="47" ht="15.75" customHeight="1">
      <c r="C47" s="165"/>
      <c r="G47" s="168"/>
      <c r="H47" s="168"/>
      <c r="I47" s="168"/>
      <c r="J47" s="168"/>
      <c r="K47" s="168"/>
    </row>
    <row r="48" ht="15.75" customHeight="1"/>
    <row r="49" ht="15.75" customHeight="1">
      <c r="B49" s="161" t="s">
        <v>291</v>
      </c>
    </row>
    <row r="50" ht="15.75" customHeight="1">
      <c r="C50" s="165" t="s">
        <v>292</v>
      </c>
      <c r="I50" s="169" t="n">
        <f>L15</f>
        <v>7510797.995</v>
      </c>
      <c r="L50" s="168"/>
    </row>
    <row r="51" ht="15.75" customHeight="1">
      <c r="C51" s="165" t="s">
        <v>293</v>
      </c>
      <c r="I51" s="169" t="n">
        <f>L39</f>
        <v>2935972.75364</v>
      </c>
      <c r="J51" s="170" t="n">
        <f>I51/I50</f>
        <v>0.39090024197089324</v>
      </c>
      <c r="L51" s="168"/>
      <c r="M51" s="171"/>
    </row>
    <row r="52" ht="15.75" customHeight="1">
      <c r="C52" s="165" t="s">
        <v>294</v>
      </c>
      <c r="I52" s="169" t="n">
        <f>L37</f>
        <v>2237468.540105</v>
      </c>
      <c r="J52" s="170" t="n">
        <f>I52/I50</f>
        <v>0.29790024197089326</v>
      </c>
      <c r="L52" s="168"/>
      <c r="M52" s="171"/>
    </row>
    <row r="53" ht="15.75" customHeight="1"/>
  </sheetData>
  <mergeCells>
    <mergeCell ref="C19:F19"/>
    <mergeCell ref="C29:F29"/>
    <mergeCell ref="C38:F38"/>
    <mergeCell ref="A1:Z3"/>
    <mergeCell ref="A4:G4"/>
    <mergeCell ref="H4:N4"/>
    <mergeCell ref="O4:Z4"/>
    <mergeCell ref="A5:Z5"/>
    <mergeCell ref="P8:Q8"/>
    <mergeCell ref="B9:F9"/>
    <mergeCell ref="B10:F10"/>
    <mergeCell ref="B11:F11"/>
    <mergeCell ref="C8:D8"/>
    <mergeCell ref="E8:F8"/>
    <mergeCell ref="H8:J8"/>
    <mergeCell ref="K8:L8"/>
    <mergeCell ref="N8:O8"/>
  </mergeCells>
  <dataValidations count="2">
    <dataValidation type="list" showInputMessage="1" showErrorMessage="1" sqref="K8:L8">
      <formula1>"Scenario assumption,Debt Schedule"</formula1>
      <formula2>0</formula2>
    </dataValidation>
    <dataValidation type="list" allowBlank="1" showInputMessage="1" showErrorMessage="1" sqref="S8:U8">
      <formula1>"Growth Assumptions,Capex &amp; D&amp;A Schedule"</formula1>
      <formula2>0</formula2>
    </dataValidation>
  </dataValidations>
  <pageMargins left="0.7" right="0.7" top="0.75" bottom="0.75" header="0.3" footer="0.3"/>
  <drawing r:id="R49f3803a52f4480b"/>
</worksheet>
</file>

<file path=xl/worksheets/sheet13.xml><?xml version="1.0" encoding="utf-8"?>
<worksheet xmlns="http://schemas.openxmlformats.org/spreadsheetml/2006/main" xmlns:r="http://schemas.openxmlformats.org/officeDocument/2006/relationships">
  <sheetViews>
    <sheetView showGridLines="0" workbookViewId="0"/>
  </sheetViews>
  <sheetFormatPr baseColWidth="10" defaultColWidth="10.83203125" defaultRowHeight="16"/>
  <cols>
    <col min="1" max="1" width="10.83203125" style="37" customWidth="0"/>
    <col min="2" max="2" width="1.83203125" style="37" customWidth="1"/>
    <col min="3" max="5" width="10.83203125" style="37" customWidth="0"/>
    <col min="6" max="6" width="28.5" style="37" customWidth="1"/>
    <col min="7" max="7" width="11.6640625" style="37" customWidth="1"/>
    <col min="8" max="11" width="10.83203125" style="37" customWidth="0"/>
    <col min="12" max="12" width="11.83203125" style="37" customWidth="1"/>
    <col min="13" max="17" width="10.83203125" style="37" customWidth="0"/>
    <col min="18" max="18" width="11.6640625" style="37" customWidth="1"/>
    <col min="19" max="19" width="13" style="37" customWidth="1"/>
    <col min="20" max="21" width="12" style="37" customWidth="1"/>
    <col min="22" max="26" width="10.83203125" style="37" customWidth="0"/>
    <col min="27" max="16384" width="10.83203125" style="38" customWidth="0"/>
  </cols>
  <sheetData>
    <row r="1" ht="15.75" customHeight="1">
      <c r="A1" s="322" t="s">
        <v>295</v>
      </c>
      <c r="B1" s="322"/>
      <c r="C1" s="322"/>
      <c r="D1" s="322"/>
      <c r="E1" s="322"/>
      <c r="F1" s="322"/>
      <c r="G1" s="322"/>
      <c r="H1" s="322"/>
      <c r="I1" s="322"/>
      <c r="J1" s="322"/>
      <c r="K1" s="322"/>
      <c r="L1" s="322"/>
      <c r="M1" s="322"/>
      <c r="N1" s="322"/>
      <c r="O1" s="322"/>
      <c r="P1" s="322"/>
      <c r="Q1" s="322"/>
      <c r="R1" s="322"/>
      <c r="S1" s="322"/>
      <c r="T1" s="322"/>
      <c r="U1" s="322"/>
      <c r="V1" s="322"/>
      <c r="W1" s="322"/>
      <c r="X1" s="322"/>
      <c r="Y1" s="322"/>
      <c r="Z1" s="322"/>
    </row>
    <row r="2" ht="15.75" customHeight="1">
      <c r="A2" s="322"/>
      <c r="B2" s="322"/>
      <c r="C2" s="322"/>
      <c r="D2" s="322"/>
      <c r="E2" s="322"/>
      <c r="F2" s="322"/>
      <c r="G2" s="322"/>
      <c r="H2" s="322"/>
      <c r="I2" s="322"/>
      <c r="J2" s="322"/>
      <c r="K2" s="322"/>
      <c r="L2" s="322"/>
      <c r="M2" s="322"/>
      <c r="N2" s="322"/>
      <c r="O2" s="322"/>
      <c r="P2" s="322"/>
      <c r="Q2" s="322"/>
      <c r="R2" s="322"/>
      <c r="S2" s="322"/>
      <c r="T2" s="322"/>
      <c r="U2" s="322"/>
      <c r="V2" s="322"/>
      <c r="W2" s="322"/>
      <c r="X2" s="322"/>
      <c r="Y2" s="322"/>
      <c r="Z2" s="322"/>
    </row>
    <row r="3" ht="15.75" customHeight="1">
      <c r="A3" s="322"/>
      <c r="B3" s="322"/>
      <c r="C3" s="322"/>
      <c r="D3" s="322"/>
      <c r="E3" s="322"/>
      <c r="F3" s="322"/>
      <c r="G3" s="322"/>
      <c r="H3" s="322"/>
      <c r="I3" s="322"/>
      <c r="J3" s="322"/>
      <c r="K3" s="322"/>
      <c r="L3" s="322"/>
      <c r="M3" s="322"/>
      <c r="N3" s="322"/>
      <c r="O3" s="322"/>
      <c r="P3" s="322"/>
      <c r="Q3" s="322"/>
      <c r="R3" s="322"/>
      <c r="S3" s="322"/>
      <c r="T3" s="322"/>
      <c r="U3" s="322"/>
      <c r="V3" s="322"/>
      <c r="W3" s="322"/>
      <c r="X3" s="322"/>
      <c r="Y3" s="322"/>
      <c r="Z3" s="322"/>
    </row>
    <row r="4" ht="4.5" customHeight="1">
      <c r="A4" s="323"/>
      <c r="B4" s="323"/>
      <c r="C4" s="323"/>
      <c r="D4" s="323"/>
      <c r="E4" s="323"/>
      <c r="F4" s="323"/>
      <c r="G4" s="323"/>
      <c r="H4" s="319"/>
      <c r="I4" s="319"/>
      <c r="J4" s="319"/>
      <c r="K4" s="319"/>
      <c r="L4" s="319"/>
      <c r="M4" s="319"/>
      <c r="N4" s="319"/>
      <c r="O4" s="324"/>
      <c r="P4" s="324"/>
      <c r="Q4" s="324"/>
      <c r="R4" s="324"/>
      <c r="S4" s="324"/>
      <c r="T4" s="324"/>
      <c r="U4" s="324"/>
      <c r="V4" s="324"/>
      <c r="W4" s="324"/>
      <c r="X4" s="324"/>
      <c r="Y4" s="324"/>
      <c r="Z4" s="324"/>
    </row>
    <row r="5" ht="1.5" customHeight="1">
      <c r="A5" s="325"/>
      <c r="B5" s="325"/>
      <c r="C5" s="325"/>
      <c r="D5" s="325"/>
      <c r="E5" s="325"/>
      <c r="F5" s="325"/>
      <c r="G5" s="325"/>
      <c r="H5" s="325"/>
      <c r="I5" s="325"/>
      <c r="J5" s="325"/>
      <c r="K5" s="325"/>
      <c r="L5" s="325"/>
      <c r="M5" s="325"/>
      <c r="N5" s="325"/>
      <c r="O5" s="325"/>
      <c r="P5" s="325"/>
      <c r="Q5" s="325"/>
      <c r="R5" s="325"/>
      <c r="S5" s="325"/>
      <c r="T5" s="325"/>
      <c r="U5" s="325"/>
      <c r="V5" s="325"/>
      <c r="W5" s="325"/>
      <c r="X5" s="325"/>
      <c r="Y5" s="325"/>
      <c r="Z5" s="325"/>
    </row>
    <row r="6" ht="16.5" customHeight="1">
      <c r="Z6" s="37" t="s">
        <v>49</v>
      </c>
    </row>
    <row r="7" ht="16.5" customHeight="1">
      <c r="C7" s="341" t="s">
        <v>296</v>
      </c>
      <c r="D7" s="341"/>
      <c r="E7" s="342" t="str">
        <f>Forecasts!E8</f>
        <v>Base</v>
      </c>
      <c r="F7" s="342"/>
      <c r="H7" s="343" t="s">
        <v>15</v>
      </c>
      <c r="I7" s="343"/>
      <c r="J7" s="343"/>
      <c r="K7" s="344" t="str">
        <f>Forecasts!K8</f>
        <v>Debt Schedule</v>
      </c>
      <c r="L7" s="344"/>
    </row>
    <row r="8" ht="15.75" customHeight="1">
      <c r="C8" s="87"/>
      <c r="D8" s="87"/>
      <c r="E8" s="39"/>
      <c r="F8" s="39"/>
      <c r="U8" s="285"/>
    </row>
    <row r="9" ht="15.75" customHeight="1">
      <c r="B9" s="319"/>
      <c r="C9" s="319"/>
      <c r="D9" s="319"/>
      <c r="E9" s="319"/>
      <c r="F9" s="319"/>
      <c r="G9" s="40" t="s">
        <v>44</v>
      </c>
      <c r="H9" s="40" t="s">
        <v>45</v>
      </c>
      <c r="I9" s="40" t="s">
        <v>46</v>
      </c>
      <c r="J9" s="40" t="s">
        <v>47</v>
      </c>
      <c r="K9" s="40" t="s">
        <v>48</v>
      </c>
      <c r="L9" s="88" t="s">
        <v>257</v>
      </c>
      <c r="M9" s="88" t="s">
        <v>258</v>
      </c>
      <c r="N9" s="88" t="s">
        <v>259</v>
      </c>
      <c r="O9" s="88" t="s">
        <v>260</v>
      </c>
      <c r="P9" s="88" t="s">
        <v>261</v>
      </c>
      <c r="Q9" s="88" t="s">
        <v>262</v>
      </c>
      <c r="R9" s="88" t="s">
        <v>263</v>
      </c>
      <c r="S9" s="88" t="s">
        <v>264</v>
      </c>
      <c r="T9" s="88" t="s">
        <v>265</v>
      </c>
      <c r="U9" s="88" t="s">
        <v>266</v>
      </c>
      <c r="V9" s="89"/>
    </row>
    <row r="10" ht="15.75" customHeight="1">
      <c r="B10" s="339" t="s">
        <v>297</v>
      </c>
      <c r="C10" s="339"/>
      <c r="D10" s="339"/>
      <c r="E10" s="339"/>
      <c r="F10" s="339"/>
      <c r="G10" s="44"/>
      <c r="H10" s="44"/>
      <c r="I10" s="44"/>
      <c r="J10" s="44"/>
      <c r="K10" s="44"/>
      <c r="L10" s="172"/>
      <c r="M10" s="172"/>
      <c r="N10" s="172"/>
      <c r="O10" s="172"/>
      <c r="P10" s="172"/>
      <c r="Q10" s="172"/>
      <c r="R10" s="172"/>
      <c r="S10" s="172"/>
      <c r="T10" s="172"/>
      <c r="U10" s="172"/>
    </row>
    <row r="11" ht="15.75" customHeight="1">
      <c r="B11" s="47"/>
      <c r="C11" s="340" t="s">
        <v>298</v>
      </c>
      <c r="D11" s="340"/>
      <c r="E11" s="340"/>
      <c r="F11" s="340"/>
      <c r="G11" s="44" t="n">
        <f>Forecasts!G15</f>
        <v>4270894</v>
      </c>
      <c r="H11" s="44" t="n">
        <f>Forecasts!H15</f>
        <v>5095254</v>
      </c>
      <c r="I11" s="44" t="n">
        <f>Forecasts!I15</f>
        <v>5970146</v>
      </c>
      <c r="J11" s="44" t="n">
        <f>Forecasts!J15</f>
        <v>6676668</v>
      </c>
      <c r="K11" s="44" t="n">
        <f>Forecasts!K15</f>
        <v>7145768</v>
      </c>
      <c r="L11" s="172" t="n">
        <f>Forecasts!L15</f>
        <v>7510797.995</v>
      </c>
      <c r="M11" s="172" t="n">
        <f>Forecasts!M15</f>
        <v>7954944.934324999</v>
      </c>
      <c r="N11" s="172" t="n">
        <f>Forecasts!N15</f>
        <v>8421809.644819373</v>
      </c>
      <c r="O11" s="172" t="n">
        <f>Forecasts!O15</f>
        <v>8876949.347282909</v>
      </c>
      <c r="P11" s="172" t="n">
        <f>Forecasts!P15</f>
        <v>9315395.4162032</v>
      </c>
      <c r="Q11" s="172" t="n">
        <f>Forecasts!Q15</f>
        <v>9736492.588520115</v>
      </c>
      <c r="R11" s="172" t="n">
        <f>Forecasts!R15</f>
        <v>10131738.468563562</v>
      </c>
      <c r="S11" s="172" t="n">
        <f>Forecasts!S15</f>
        <v>10486925.18659865</v>
      </c>
      <c r="T11" s="172" t="n">
        <f>Forecasts!T15</f>
        <v>10848302.779885262</v>
      </c>
      <c r="U11" s="172" t="n">
        <f>Forecasts!U15</f>
        <v>11163042.728499603</v>
      </c>
    </row>
    <row r="12" ht="15.75" customHeight="1">
      <c r="B12" s="47"/>
      <c r="C12" s="340" t="s">
        <v>230</v>
      </c>
      <c r="D12" s="340"/>
      <c r="E12" s="340"/>
      <c r="F12" s="340"/>
      <c r="G12" s="44" t="n">
        <f>Forecasts!G22</f>
        <v>2080613</v>
      </c>
      <c r="H12" s="44" t="n">
        <f>Forecasts!H22</f>
        <v>2648953</v>
      </c>
      <c r="I12" s="44" t="n">
        <f>Forecasts!I22</f>
        <v>2995877</v>
      </c>
      <c r="J12" s="44" t="n">
        <f>Forecasts!J22</f>
        <v>3329483</v>
      </c>
      <c r="K12" s="44" t="n">
        <f>Forecasts!K22</f>
        <v>3452971</v>
      </c>
      <c r="L12" s="172" t="n">
        <f>Forecasts!L22</f>
        <v>3605183.0376</v>
      </c>
      <c r="M12" s="172" t="n">
        <f>Forecasts!M22</f>
        <v>3810418.6235416746</v>
      </c>
      <c r="N12" s="172" t="n">
        <f>Forecasts!N22</f>
        <v>4025625.01022366</v>
      </c>
      <c r="O12" s="172" t="n">
        <f>Forecasts!O22</f>
        <v>4234304.838653947</v>
      </c>
      <c r="P12" s="172" t="n">
        <f>Forecasts!P22</f>
        <v>4434128.218112723</v>
      </c>
      <c r="Q12" s="172" t="n">
        <f>Forecasts!Q22</f>
        <v>4634570.472135575</v>
      </c>
      <c r="R12" s="172" t="n">
        <f>Forecasts!R22</f>
        <v>4822707.511036255</v>
      </c>
      <c r="S12" s="172" t="n">
        <f>Forecasts!S22</f>
        <v>4991776.388820956</v>
      </c>
      <c r="T12" s="172" t="n">
        <f>Forecasts!T22</f>
        <v>5163792.123225384</v>
      </c>
      <c r="U12" s="172" t="n">
        <f>Forecasts!U22</f>
        <v>5313608.33876581</v>
      </c>
    </row>
    <row r="13" ht="15.75" customHeight="1">
      <c r="B13" s="47"/>
      <c r="C13" s="340"/>
      <c r="D13" s="340"/>
      <c r="E13" s="340"/>
      <c r="F13" s="340"/>
      <c r="G13" s="44"/>
      <c r="H13" s="44"/>
      <c r="I13" s="91"/>
      <c r="J13" s="44"/>
      <c r="K13" s="44"/>
      <c r="L13" s="172"/>
      <c r="M13" s="172"/>
      <c r="N13" s="172"/>
      <c r="O13" s="172"/>
      <c r="P13" s="172"/>
      <c r="Q13" s="172"/>
      <c r="R13" s="172"/>
      <c r="S13" s="172"/>
      <c r="T13" s="172"/>
      <c r="U13" s="172"/>
    </row>
    <row r="14" ht="15.75" customHeight="1">
      <c r="B14" s="47"/>
      <c r="C14" s="340" t="s">
        <v>81</v>
      </c>
      <c r="D14" s="340"/>
      <c r="E14" s="340"/>
      <c r="F14" s="340"/>
      <c r="G14" s="44" t="n">
        <f>'Balance Sheet'!G17</f>
        <v>185000</v>
      </c>
      <c r="H14" s="44" t="n">
        <f>'Balance Sheet'!H17</f>
        <v>232414</v>
      </c>
      <c r="I14" s="44" t="n">
        <f>'Balance Sheet'!I17</f>
        <v>261380</v>
      </c>
      <c r="J14" s="44" t="n">
        <f>'Balance Sheet'!J17</f>
        <v>349176</v>
      </c>
      <c r="K14" s="44" t="n">
        <f>'Balance Sheet'!K17</f>
        <v>360339</v>
      </c>
      <c r="L14" s="172" t="n">
        <f t="shared" ref="L14:U14" si="0">L23/365*L11</f>
        <v>378626.5290630137</v>
      </c>
      <c r="M14" s="172">
        <f t="shared" si="0"/>
        <v>401016.40216871229</v>
      </c>
      <c r="N14" s="172">
        <f t="shared" si="0"/>
        <v>424551.49990322319</v>
      </c>
      <c r="O14" s="172">
        <f t="shared" si="0"/>
        <v>447495.52873974113</v>
      </c>
      <c r="P14" s="172">
        <f t="shared" si="0"/>
        <v>469598.01550175034</v>
      </c>
      <c r="Q14" s="172">
        <f t="shared" si="0"/>
        <v>490825.9277500551</v>
      </c>
      <c r="R14" s="172">
        <f t="shared" si="0"/>
        <v>510750.6515659439</v>
      </c>
      <c r="S14" s="172">
        <f t="shared" si="0"/>
        <v>528655.95461209619</v>
      </c>
      <c r="T14" s="172">
        <f t="shared" si="0"/>
        <v>546873.34561613377</v>
      </c>
      <c r="U14" s="172">
        <f t="shared" si="0"/>
        <v>562739.68823121279</v>
      </c>
    </row>
    <row r="15" ht="15.75" customHeight="1">
      <c r="B15" s="47"/>
      <c r="C15" s="47" t="s">
        <v>80</v>
      </c>
      <c r="D15" s="47"/>
      <c r="E15" s="47"/>
      <c r="F15" s="47"/>
      <c r="G15" s="44" t="n">
        <f>'Balance Sheet'!G16</f>
        <v>540575</v>
      </c>
      <c r="H15" s="44" t="n">
        <f>'Balance Sheet'!H16</f>
        <v>674662</v>
      </c>
      <c r="I15" s="44" t="n">
        <f>'Balance Sheet'!I16</f>
        <v>948514</v>
      </c>
      <c r="J15" s="44" t="n">
        <f>'Balance Sheet'!J16</f>
        <v>1088194</v>
      </c>
      <c r="K15" s="44" t="n">
        <f>'Balance Sheet'!K16</f>
        <v>1113904</v>
      </c>
      <c r="L15" s="172" t="n">
        <f t="shared" ref="L15:U15" si="1">L24/365*L12</f>
        <v>1163535.7858336437</v>
      </c>
      <c r="M15" s="172">
        <f t="shared" si="1"/>
        <v>1229773.4626115323</v>
      </c>
      <c r="N15" s="172">
        <f t="shared" si="1"/>
        <v>1299229.1128886223</v>
      </c>
      <c r="O15" s="172">
        <f t="shared" si="1"/>
        <v>1366578.3835436574</v>
      </c>
      <c r="P15" s="172">
        <f t="shared" si="1"/>
        <v>1431069.3262840514</v>
      </c>
      <c r="Q15" s="172">
        <f t="shared" si="1"/>
        <v>1495760.0044317006</v>
      </c>
      <c r="R15" s="172">
        <f t="shared" si="1"/>
        <v>1556479.300822112</v>
      </c>
      <c r="S15" s="172">
        <f t="shared" si="1"/>
        <v>1611044.5441181059</v>
      </c>
      <c r="T15" s="172">
        <f t="shared" si="1"/>
        <v>1666560.8551121925</v>
      </c>
      <c r="U15" s="172">
        <f t="shared" si="1"/>
        <v>1714912.4994701711</v>
      </c>
    </row>
    <row r="16" ht="15.75" customHeight="1">
      <c r="B16" s="47"/>
      <c r="C16" s="37" t="s">
        <v>98</v>
      </c>
      <c r="G16" s="44" t="n">
        <f>'Balance Sheet'!G36</f>
        <v>797832</v>
      </c>
      <c r="H16" s="44" t="n">
        <f>'Balance Sheet'!H36</f>
        <v>902968</v>
      </c>
      <c r="I16" s="44" t="n">
        <f>'Balance Sheet'!I36</f>
        <v>930560</v>
      </c>
      <c r="J16" s="44" t="n">
        <f>'Balance Sheet'!J36</f>
        <v>945657</v>
      </c>
      <c r="K16" s="44" t="n">
        <f>'Balance Sheet'!K36</f>
        <v>841256</v>
      </c>
      <c r="L16" s="172" t="n">
        <f t="shared" ref="L16:U16" si="2">L25/365*L12</f>
        <v>878084.306966137</v>
      </c>
      <c r="M16" s="172">
        <f t="shared" si="2"/>
        <v>928071.82365165721</v>
      </c>
      <c r="N16" s="172">
        <f t="shared" si="2"/>
        <v>980487.84495584504</v>
      </c>
      <c r="O16" s="172">
        <f t="shared" si="2"/>
        <v>1031314.2470036601</v>
      </c>
      <c r="P16" s="172">
        <f t="shared" si="2"/>
        <v>1079983.5577814276</v>
      </c>
      <c r="Q16" s="172">
        <f t="shared" si="2"/>
        <v>1128803.6026653496</v>
      </c>
      <c r="R16" s="172">
        <f t="shared" si="2"/>
        <v>1174626.5691263648</v>
      </c>
      <c r="S16" s="172">
        <f t="shared" si="2"/>
        <v>1215805.2629210495</v>
      </c>
      <c r="T16" s="172">
        <f t="shared" si="2"/>
        <v>1257701.6979581828</v>
      </c>
      <c r="U16" s="172">
        <f t="shared" si="2"/>
        <v>1294191.18168844</v>
      </c>
    </row>
    <row r="17" ht="15.75" customHeight="1">
      <c r="B17" s="47"/>
      <c r="C17" s="47" t="s">
        <v>299</v>
      </c>
      <c r="D17" s="47"/>
      <c r="E17" s="47"/>
      <c r="F17" s="47"/>
      <c r="G17" s="44" t="n">
        <f>CCC!G28</f>
        <v>240696</v>
      </c>
      <c r="H17" s="44" t="n">
        <f>CCC!H28</f>
        <v>451166</v>
      </c>
      <c r="I17" s="44" t="n">
        <f>CCC!I28</f>
        <v>516096</v>
      </c>
      <c r="J17" s="44" t="n">
        <f>CCC!J28</f>
        <v>553771</v>
      </c>
      <c r="K17" s="44" t="n">
        <f>CCC!K28</f>
        <v>774535</v>
      </c>
      <c r="L17" s="172" t="n">
        <f t="shared" ref="L17:U17" si="3">L26/365*L11</f>
        <v>814870.1386356165</v>
      </c>
      <c r="M17" s="172">
        <f t="shared" si="3"/>
        <v>863057.03945005476</v>
      </c>
      <c r="N17" s="172">
        <f t="shared" si="3"/>
        <v>913708.66283519776</v>
      </c>
      <c r="O17" s="172">
        <f t="shared" si="3"/>
        <v>963088.20315726905</v>
      </c>
      <c r="P17" s="172">
        <f t="shared" si="3"/>
        <v>1010656.5985798541</v>
      </c>
      <c r="Q17" s="172">
        <f t="shared" si="3"/>
        <v>1056342.7575490316</v>
      </c>
      <c r="R17" s="172">
        <f t="shared" si="3"/>
        <v>1099224.2283701838</v>
      </c>
      <c r="S17" s="172">
        <f t="shared" si="3"/>
        <v>1137759.5544912508</v>
      </c>
      <c r="T17" s="172">
        <f t="shared" si="3"/>
        <v>1176966.5481738532</v>
      </c>
      <c r="U17" s="172">
        <f t="shared" si="3"/>
        <v>1211113.6768454365</v>
      </c>
    </row>
    <row r="18" ht="15.75" customHeight="1">
      <c r="B18" s="47"/>
      <c r="C18" s="47" t="s">
        <v>300</v>
      </c>
      <c r="D18" s="47"/>
      <c r="E18" s="47"/>
      <c r="F18" s="47"/>
      <c r="G18" s="44" t="n">
        <f>'Economic Balance Sheet'!G18-G14-G15+G16+G17</f>
        <v>-462459</v>
      </c>
      <c r="H18" s="44" t="n">
        <f>'Economic Balance Sheet'!H18-H14-H15+H16+H17</f>
        <v>-390185</v>
      </c>
      <c r="I18" s="44" t="n">
        <f>'Economic Balance Sheet'!I18-I14-I15+I16+I17</f>
        <v>-454298</v>
      </c>
      <c r="J18" s="44" t="n">
        <f>'Economic Balance Sheet'!J18-J14-J15+J16+J17</f>
        <v>-436642</v>
      </c>
      <c r="K18" s="44" t="n">
        <f>'Economic Balance Sheet'!K18-K14-K15+K16+K17</f>
        <v>-431094</v>
      </c>
      <c r="L18" s="172" t="n">
        <f t="shared" ref="L18:U18" si="4">L11*L27</f>
        <v>-450647.8797</v>
      </c>
      <c r="M18" s="172">
        <f t="shared" si="4"/>
        <v>-477296.69605949993</v>
      </c>
      <c r="N18" s="172">
        <f t="shared" si="4"/>
        <v>-505308.57868916239</v>
      </c>
      <c r="O18" s="172">
        <f t="shared" si="4"/>
        <v>-532616.96083697455</v>
      </c>
      <c r="P18" s="172">
        <f t="shared" si="4"/>
        <v>-558923.72497219208</v>
      </c>
      <c r="Q18" s="172">
        <f t="shared" si="4"/>
        <v>-584189.55531120684</v>
      </c>
      <c r="R18" s="172">
        <f t="shared" si="4"/>
        <v>-607904.30811381375</v>
      </c>
      <c r="S18" s="172">
        <f t="shared" si="4"/>
        <v>-629215.51119591889</v>
      </c>
      <c r="T18" s="172">
        <f t="shared" si="4"/>
        <v>-650898.16679311567</v>
      </c>
      <c r="U18" s="172">
        <f t="shared" si="4"/>
        <v>-669782.56370997615</v>
      </c>
    </row>
    <row r="19" ht="15.75" customHeight="1">
      <c r="B19" s="45" t="s">
        <v>210</v>
      </c>
      <c r="C19" s="47"/>
      <c r="D19" s="47"/>
      <c r="E19" s="47"/>
      <c r="F19" s="47"/>
      <c r="G19" s="44" t="n">
        <f t="shared" ref="G19:U19" si="5">G14+G15-G16-G17+G18</f>
        <v>-775412</v>
      </c>
      <c r="H19" s="44">
        <f t="shared" si="5"/>
        <v>-837243</v>
      </c>
      <c r="I19" s="44">
        <f t="shared" si="5"/>
        <v>-691060</v>
      </c>
      <c r="J19" s="44">
        <f t="shared" si="5"/>
        <v>-498700</v>
      </c>
      <c r="K19" s="44">
        <f t="shared" si="5"/>
        <v>-572642</v>
      </c>
      <c r="L19" s="172">
        <f t="shared" si="5"/>
        <v>-601440.01040509623</v>
      </c>
      <c r="M19" s="172">
        <f t="shared" si="5"/>
        <v>-637635.69438096718</v>
      </c>
      <c r="N19" s="172">
        <f t="shared" si="5"/>
        <v>-675724.47368835961</v>
      </c>
      <c r="O19" s="172">
        <f t="shared" si="5"/>
        <v>-712945.49871450523</v>
      </c>
      <c r="P19" s="172">
        <f t="shared" si="5"/>
        <v>-748896.53954767203</v>
      </c>
      <c r="Q19" s="172">
        <f t="shared" si="5"/>
        <v>-782749.98334383254</v>
      </c>
      <c r="R19" s="172">
        <f t="shared" si="5"/>
        <v>-814525.15322230652</v>
      </c>
      <c r="S19" s="172">
        <f t="shared" si="5"/>
        <v>-843079.82987801696</v>
      </c>
      <c r="T19" s="172">
        <f t="shared" si="5"/>
        <v>-872132.21219682554</v>
      </c>
      <c r="U19" s="172">
        <f t="shared" si="5"/>
        <v>-897435.23454246903</v>
      </c>
    </row>
    <row r="20" ht="15.75" customHeight="1">
      <c r="B20" s="47"/>
      <c r="C20" s="47"/>
      <c r="D20" s="47"/>
      <c r="E20" s="47"/>
      <c r="F20" s="47"/>
      <c r="G20" s="44"/>
      <c r="H20" s="44"/>
      <c r="I20" s="44"/>
      <c r="J20" s="44"/>
      <c r="K20" s="44"/>
      <c r="L20" s="172"/>
      <c r="M20" s="172"/>
      <c r="N20" s="172"/>
      <c r="O20" s="172"/>
      <c r="P20" s="172"/>
      <c r="Q20" s="172"/>
      <c r="R20" s="172"/>
      <c r="S20" s="172"/>
      <c r="T20" s="172"/>
      <c r="U20" s="172"/>
    </row>
    <row r="21" ht="15.75" customHeight="1">
      <c r="B21" s="47"/>
      <c r="C21" s="47"/>
      <c r="D21" s="47"/>
      <c r="E21" s="47"/>
      <c r="F21" s="47"/>
      <c r="G21" s="44"/>
      <c r="H21" s="44"/>
      <c r="I21" s="44"/>
      <c r="J21" s="44"/>
      <c r="K21" s="44"/>
      <c r="L21" s="172"/>
      <c r="M21" s="172"/>
      <c r="N21" s="172"/>
      <c r="O21" s="172"/>
      <c r="P21" s="172"/>
      <c r="Q21" s="172"/>
      <c r="R21" s="172"/>
      <c r="S21" s="172"/>
      <c r="T21" s="172"/>
      <c r="U21" s="172"/>
    </row>
    <row r="22" ht="15.75" customHeight="1">
      <c r="B22" s="45" t="s">
        <v>301</v>
      </c>
      <c r="C22" s="47"/>
      <c r="D22" s="47"/>
      <c r="E22" s="47"/>
      <c r="F22" s="47"/>
      <c r="G22" s="44"/>
      <c r="H22" s="44"/>
      <c r="I22" s="44"/>
      <c r="J22" s="44"/>
      <c r="K22" s="44"/>
      <c r="L22" s="172"/>
      <c r="M22" s="172"/>
      <c r="N22" s="172"/>
      <c r="O22" s="172"/>
      <c r="P22" s="172"/>
      <c r="Q22" s="172"/>
      <c r="R22" s="172"/>
      <c r="S22" s="172"/>
      <c r="T22" s="172"/>
      <c r="U22" s="172"/>
    </row>
    <row r="23" ht="15.75" customHeight="1">
      <c r="B23" s="47"/>
      <c r="C23" s="47" t="s">
        <v>302</v>
      </c>
      <c r="D23" s="47"/>
      <c r="E23" s="47"/>
      <c r="F23" s="47"/>
      <c r="G23" s="92" t="n">
        <f t="shared" ref="G23:K24" si="6">G14/G11*365</f>
        <v>15.81050712099153</v>
      </c>
      <c r="H23" s="92">
        <f t="shared" si="6"/>
        <v>16.649044385225938</v>
      </c>
      <c r="I23" s="92">
        <f t="shared" si="6"/>
        <v>15.980128459170011</v>
      </c>
      <c r="J23" s="92">
        <f t="shared" si="6"/>
        <v>19.088749058662195</v>
      </c>
      <c r="K23" s="92">
        <f t="shared" si="6"/>
        <v>18.405822159353619</v>
      </c>
      <c r="L23" s="409">
        <v>18.399999999999999</v>
      </c>
      <c r="M23" s="409">
        <v>18.399999999999999</v>
      </c>
      <c r="N23" s="409">
        <v>18.399999999999999</v>
      </c>
      <c r="O23" s="409">
        <v>18.399999999999999</v>
      </c>
      <c r="P23" s="409">
        <v>18.399999999999999</v>
      </c>
      <c r="Q23" s="409">
        <v>18.399999999999999</v>
      </c>
      <c r="R23" s="409">
        <v>18.399999999999999</v>
      </c>
      <c r="S23" s="409">
        <v>18.399999999999999</v>
      </c>
      <c r="T23" s="409">
        <v>18.399999999999999</v>
      </c>
      <c r="U23" s="409">
        <v>18.399999999999999</v>
      </c>
      <c r="V23" s="174"/>
    </row>
    <row r="24" ht="15.75" customHeight="1">
      <c r="B24" s="47"/>
      <c r="C24" s="47" t="s">
        <v>303</v>
      </c>
      <c r="D24" s="47"/>
      <c r="E24" s="47"/>
      <c r="F24" s="47"/>
      <c r="G24" s="92">
        <f t="shared" si="6"/>
        <v>94.832568574742155</v>
      </c>
      <c r="H24" s="92">
        <f t="shared" si="6"/>
        <v>92.961872105696102</v>
      </c>
      <c r="I24" s="92">
        <f t="shared" si="6"/>
        <v>115.56135649093737</v>
      </c>
      <c r="J24" s="92">
        <f t="shared" si="6"/>
        <v>119.29504070151431</v>
      </c>
      <c r="K24" s="92">
        <f t="shared" si="6"/>
        <v>117.74641605736046</v>
      </c>
      <c r="L24" s="409">
        <v>117.8</v>
      </c>
      <c r="M24" s="409">
        <v>117.8</v>
      </c>
      <c r="N24" s="409">
        <v>117.8</v>
      </c>
      <c r="O24" s="409">
        <v>117.8</v>
      </c>
      <c r="P24" s="409">
        <v>117.8</v>
      </c>
      <c r="Q24" s="409">
        <v>117.8</v>
      </c>
      <c r="R24" s="409">
        <v>117.8</v>
      </c>
      <c r="S24" s="409">
        <v>117.8</v>
      </c>
      <c r="T24" s="409">
        <v>117.8</v>
      </c>
      <c r="U24" s="409">
        <v>117.8</v>
      </c>
      <c r="V24" s="174"/>
    </row>
    <row r="25" ht="15.75" customHeight="1">
      <c r="B25" s="47"/>
      <c r="C25" s="47" t="s">
        <v>304</v>
      </c>
      <c r="D25" s="47"/>
      <c r="E25" s="47"/>
      <c r="F25" s="47"/>
      <c r="G25" s="92" t="n">
        <f>G16/G12*365</f>
        <v>139.96292438814905</v>
      </c>
      <c r="H25" s="92" t="n">
        <f>H16/H12*365</f>
        <v>124.42022187634133</v>
      </c>
      <c r="I25" s="92" t="n">
        <f>I16/I12*365</f>
        <v>113.37394692772769</v>
      </c>
      <c r="J25" s="92" t="n">
        <f>J16/J12*365</f>
        <v>103.66918978111617</v>
      </c>
      <c r="K25" s="92" t="n">
        <f>K16/K12*365</f>
        <v>88.92586702871237</v>
      </c>
      <c r="L25" s="409">
        <v>88.9</v>
      </c>
      <c r="M25" s="409">
        <v>88.9</v>
      </c>
      <c r="N25" s="409">
        <v>88.9</v>
      </c>
      <c r="O25" s="409">
        <v>88.9</v>
      </c>
      <c r="P25" s="409">
        <v>88.9</v>
      </c>
      <c r="Q25" s="409">
        <v>88.9</v>
      </c>
      <c r="R25" s="409">
        <v>88.9</v>
      </c>
      <c r="S25" s="409">
        <v>88.9</v>
      </c>
      <c r="T25" s="409">
        <v>88.9</v>
      </c>
      <c r="U25" s="409">
        <v>88.9</v>
      </c>
      <c r="V25" s="174"/>
    </row>
    <row r="26" ht="15.75" customHeight="1">
      <c r="B26" s="47"/>
      <c r="C26" s="47" t="s">
        <v>305</v>
      </c>
      <c r="D26" s="47"/>
      <c r="E26" s="47"/>
      <c r="F26" s="47"/>
      <c r="G26" s="92" t="n">
        <f>G17/G11*365</f>
        <v>20.570409848617174</v>
      </c>
      <c r="H26" s="92" t="n">
        <f>H17/H11*365</f>
        <v>32.31940743287773</v>
      </c>
      <c r="I26" s="92" t="n">
        <f>I17/I11*365</f>
        <v>31.552836396295834</v>
      </c>
      <c r="J26" s="92" t="n">
        <f>J17/J11*365</f>
        <v>30.27354587647611</v>
      </c>
      <c r="K26" s="92" t="n">
        <f>K17/K11*365</f>
        <v>39.56261594275101</v>
      </c>
      <c r="L26" s="409">
        <v>39.6</v>
      </c>
      <c r="M26" s="409">
        <v>39.6</v>
      </c>
      <c r="N26" s="409">
        <v>39.6</v>
      </c>
      <c r="O26" s="409">
        <v>39.6</v>
      </c>
      <c r="P26" s="409">
        <v>39.6</v>
      </c>
      <c r="Q26" s="409">
        <v>39.6</v>
      </c>
      <c r="R26" s="409">
        <v>39.6</v>
      </c>
      <c r="S26" s="409">
        <v>39.6</v>
      </c>
      <c r="T26" s="409">
        <v>39.6</v>
      </c>
      <c r="U26" s="409">
        <v>39.6</v>
      </c>
      <c r="V26" s="174"/>
    </row>
    <row r="27" ht="15.75" customHeight="1">
      <c r="B27" s="47"/>
      <c r="C27" s="47" t="s">
        <v>306</v>
      </c>
      <c r="D27" s="47"/>
      <c r="E27" s="47"/>
      <c r="F27" s="47"/>
      <c r="G27" s="93" t="n">
        <f>G18/G11</f>
        <v>-0.10828154480069044</v>
      </c>
      <c r="H27" s="93" t="n">
        <f>H18/H11</f>
        <v>-0.07657812544772057</v>
      </c>
      <c r="I27" s="93" t="n">
        <f>I18/I11</f>
        <v>-0.07609495647175128</v>
      </c>
      <c r="J27" s="93" t="n">
        <f>J18/J11</f>
        <v>-0.06539818963590821</v>
      </c>
      <c r="K27" s="93" t="n">
        <f>K18/K11</f>
        <v>-0.0603285748991571</v>
      </c>
      <c r="L27" s="410">
        <v>-0.06</v>
      </c>
      <c r="M27" s="410">
        <v>-0.06</v>
      </c>
      <c r="N27" s="410">
        <v>-0.06</v>
      </c>
      <c r="O27" s="410">
        <v>-0.06</v>
      </c>
      <c r="P27" s="410">
        <v>-0.06</v>
      </c>
      <c r="Q27" s="410">
        <v>-0.06</v>
      </c>
      <c r="R27" s="410">
        <v>-0.06</v>
      </c>
      <c r="S27" s="410">
        <v>-0.06</v>
      </c>
      <c r="T27" s="410">
        <v>-0.06</v>
      </c>
      <c r="U27" s="410">
        <v>-0.06</v>
      </c>
      <c r="V27" s="174"/>
    </row>
    <row r="28" ht="15.75" customHeight="1">
      <c r="B28" s="47"/>
      <c r="C28" s="47"/>
      <c r="D28" s="47"/>
      <c r="E28" s="47"/>
      <c r="F28" s="47"/>
      <c r="G28" s="44"/>
      <c r="H28" s="44"/>
      <c r="I28" s="44"/>
      <c r="J28" s="44"/>
      <c r="K28" s="44"/>
      <c r="L28" s="172"/>
      <c r="M28" s="172"/>
      <c r="N28" s="172"/>
      <c r="O28" s="172"/>
      <c r="P28" s="172"/>
      <c r="Q28" s="172"/>
      <c r="R28" s="172"/>
      <c r="S28" s="172"/>
      <c r="T28" s="172"/>
      <c r="U28" s="172"/>
    </row>
    <row r="29" ht="15.75" customHeight="1">
      <c r="B29" s="45" t="s">
        <v>307</v>
      </c>
      <c r="C29" s="47"/>
      <c r="D29" s="47"/>
      <c r="E29" s="47"/>
      <c r="F29" s="47"/>
      <c r="G29" s="44"/>
      <c r="H29" s="44"/>
      <c r="I29" s="44"/>
      <c r="J29" s="44"/>
      <c r="K29" s="44"/>
      <c r="L29" s="172"/>
      <c r="M29" s="172"/>
      <c r="N29" s="172"/>
      <c r="O29" s="172"/>
      <c r="P29" s="172"/>
      <c r="Q29" s="172"/>
      <c r="R29" s="172"/>
      <c r="S29" s="172"/>
      <c r="T29" s="172"/>
      <c r="U29" s="172"/>
    </row>
    <row r="30" ht="15.75" customHeight="1">
      <c r="B30" s="47"/>
      <c r="C30" s="47" t="s">
        <v>308</v>
      </c>
      <c r="D30" s="47"/>
      <c r="E30" s="47"/>
      <c r="F30" s="47"/>
      <c r="G30" s="93" t="n">
        <f t="shared" ref="G30:U30" si="7">G19/G11</f>
        <v>-0.1815573039274681</v>
      </c>
      <c r="H30" s="93">
        <f t="shared" si="7"/>
        <v>-0.16431820670765382</v>
      </c>
      <c r="I30" s="93">
        <f t="shared" si="7"/>
        <v>-0.11575261308517414</v>
      </c>
      <c r="J30" s="93">
        <f t="shared" si="7"/>
        <v>-7.4692945642946457E-2</v>
      </c>
      <c r="K30" s="93">
        <f t="shared" si="7"/>
        <v>-8.0137222479095313E-2</v>
      </c>
      <c r="L30" s="173">
        <f t="shared" si="7"/>
        <v>-8.0076712328767161E-2</v>
      </c>
      <c r="M30" s="173">
        <f t="shared" si="7"/>
        <v>-8.0155890410958885E-2</v>
      </c>
      <c r="N30" s="173">
        <f t="shared" si="7"/>
        <v>-8.0235068493150707E-2</v>
      </c>
      <c r="O30" s="173">
        <f t="shared" si="7"/>
        <v>-8.0314246575342502E-2</v>
      </c>
      <c r="P30" s="173">
        <f t="shared" si="7"/>
        <v>-8.0393424657534254E-2</v>
      </c>
      <c r="Q30" s="173">
        <f t="shared" si="7"/>
        <v>-8.0393424657534254E-2</v>
      </c>
      <c r="R30" s="173">
        <f t="shared" si="7"/>
        <v>-8.0393424657534282E-2</v>
      </c>
      <c r="S30" s="173">
        <f t="shared" si="7"/>
        <v>-8.0393424657534268E-2</v>
      </c>
      <c r="T30" s="173">
        <f t="shared" si="7"/>
        <v>-8.0393424657534282E-2</v>
      </c>
      <c r="U30" s="173">
        <f t="shared" si="7"/>
        <v>-8.039342465753431E-2</v>
      </c>
    </row>
    <row r="31" ht="15.75" customHeight="1">
      <c r="B31" s="47"/>
      <c r="C31" s="47" t="s">
        <v>309</v>
      </c>
      <c r="D31" s="47"/>
      <c r="E31" s="47"/>
      <c r="F31" s="47"/>
      <c r="G31" s="44"/>
      <c r="H31" s="44" t="n">
        <f t="shared" ref="H31:T31" si="8">H19-G19</f>
        <v>-61831</v>
      </c>
      <c r="I31" s="44">
        <f t="shared" si="8"/>
        <v>146183</v>
      </c>
      <c r="J31" s="44">
        <f t="shared" si="8"/>
        <v>192360</v>
      </c>
      <c r="K31" s="44">
        <f t="shared" si="8"/>
        <v>-73942</v>
      </c>
      <c r="L31" s="172">
        <f t="shared" si="8"/>
        <v>-28798.010405096225</v>
      </c>
      <c r="M31" s="172">
        <f t="shared" si="8"/>
        <v>-36195.683975870954</v>
      </c>
      <c r="N31" s="172">
        <f t="shared" si="8"/>
        <v>-38088.779307392426</v>
      </c>
      <c r="O31" s="172">
        <f t="shared" si="8"/>
        <v>-37221.025026145624</v>
      </c>
      <c r="P31" s="172">
        <f t="shared" si="8"/>
        <v>-35951.0408331668</v>
      </c>
      <c r="Q31" s="172">
        <f t="shared" si="8"/>
        <v>-33853.443796160514</v>
      </c>
      <c r="R31" s="172">
        <f t="shared" si="8"/>
        <v>-31775.169878473971</v>
      </c>
      <c r="S31" s="172">
        <f t="shared" si="8"/>
        <v>-28554.676655710442</v>
      </c>
      <c r="T31" s="172">
        <f t="shared" si="8"/>
        <v>-29052.382318808581</v>
      </c>
      <c r="U31" s="172" t="n">
        <f>U19-T19</f>
        <v>-25303.02234564349</v>
      </c>
    </row>
  </sheetData>
  <mergeCells>
    <mergeCell ref="A1:Z3"/>
    <mergeCell ref="A4:G4"/>
    <mergeCell ref="H4:N4"/>
    <mergeCell ref="O4:Z4"/>
    <mergeCell ref="A5:Z5"/>
    <mergeCell ref="C7:D7"/>
    <mergeCell ref="E7:F7"/>
    <mergeCell ref="H7:J7"/>
    <mergeCell ref="K7:L7"/>
    <mergeCell ref="B9:F9"/>
    <mergeCell ref="B10:F10"/>
    <mergeCell ref="C11:F11"/>
    <mergeCell ref="C12:F12"/>
    <mergeCell ref="C13:F13"/>
    <mergeCell ref="C14:F14"/>
  </mergeCells>
  <dataValidations count="2">
    <dataValidation type="list" allowBlank="1" showInputMessage="1" showErrorMessage="1" sqref="F8">
      <formula1>"Base,Best,Worst"</formula1>
      <formula2>0</formula2>
    </dataValidation>
    <dataValidation type="list" showInputMessage="1" showErrorMessage="1" sqref="K7:L7">
      <formula1>"Scenario assumption,Debt Schedule"</formula1>
      <formula2>0</formula2>
    </dataValidation>
  </dataValidations>
  <pageMargins left="0.7" right="0.7" top="0.75" bottom="0.75" header="0.3" footer="0.3"/>
  <drawing r:id="R129b45aabfd74374"/>
</worksheet>
</file>

<file path=xl/worksheets/sheet14.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2" max="2" width="2" customWidth="1"/>
    <col min="5" max="5" width="28.33203125" customWidth="1"/>
    <col min="6" max="6" width="15" customWidth="1"/>
    <col min="12" max="12" width="11.5" customWidth="1"/>
    <col min="13" max="14" width="11.83203125" customWidth="1"/>
    <col min="15" max="15" width="11.5" customWidth="1"/>
    <col min="16" max="16" width="12.33203125" customWidth="1"/>
    <col min="17" max="18" width="11.6640625" customWidth="1"/>
    <col min="19" max="19" width="11.83203125" customWidth="1"/>
    <col min="20" max="20" width="11.5" customWidth="1"/>
    <col min="21" max="21" width="11.83203125" customWidth="1"/>
    <col min="27" max="35" width="10.83203125" style="11" customWidth="1"/>
  </cols>
  <sheetData>
    <row r="1" ht="15.75" customHeight="1">
      <c r="A1" s="318" t="s">
        <v>310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6.5" customHeight="1">
      <c r="A6" s="11"/>
      <c r="B6" s="11"/>
      <c r="C6" s="11"/>
      <c r="D6" s="11"/>
      <c r="E6" s="11"/>
      <c r="F6" s="11"/>
      <c r="G6" s="11"/>
      <c r="H6" s="11"/>
      <c r="I6" s="11"/>
      <c r="J6" s="11"/>
      <c r="K6" s="11"/>
      <c r="L6" s="11"/>
      <c r="M6" s="11"/>
      <c r="N6" s="11"/>
      <c r="O6" s="11"/>
      <c r="P6" s="11"/>
      <c r="Q6" s="11"/>
      <c r="R6" s="11"/>
      <c r="S6" s="11"/>
      <c r="T6" s="11"/>
      <c r="U6" s="11"/>
      <c r="V6" s="11"/>
      <c r="W6" s="11"/>
      <c r="X6" s="11"/>
      <c r="Y6" s="11"/>
      <c r="Z6" s="37" t="s">
        <v>49</v>
      </c>
    </row>
    <row r="7" s="38" customFormat="1" ht="16.5" customHeight="1">
      <c r="A7" s="37"/>
      <c r="B7" s="37"/>
      <c r="C7" s="341" t="s">
        <v>296</v>
      </c>
      <c r="D7" s="341"/>
      <c r="E7" s="342" t="str">
        <f>Forecasts!E8</f>
        <v>Base</v>
      </c>
      <c r="F7" s="342"/>
      <c r="G7" s="37"/>
      <c r="H7" s="343" t="s">
        <v>15</v>
      </c>
      <c r="I7" s="343"/>
      <c r="J7" s="343"/>
      <c r="K7" s="345" t="str">
        <f>Forecasts!K8</f>
        <v>Debt Schedule</v>
      </c>
      <c r="L7" s="345"/>
      <c r="M7" s="37"/>
      <c r="N7" s="37"/>
      <c r="O7" s="37"/>
      <c r="P7" s="37"/>
      <c r="Q7" s="37"/>
      <c r="R7" s="37"/>
      <c r="S7" s="37"/>
      <c r="T7" s="37"/>
      <c r="U7" s="37"/>
      <c r="V7" s="37"/>
      <c r="W7" s="37"/>
      <c r="X7" s="37"/>
      <c r="Y7" s="37"/>
      <c r="Z7" s="37"/>
    </row>
    <row r="8" s="38" customFormat="1" ht="15.75" customHeight="1">
      <c r="A8" s="37"/>
      <c r="B8" s="37"/>
      <c r="C8" s="87"/>
      <c r="D8" s="87"/>
      <c r="E8" s="39"/>
      <c r="F8" s="39"/>
      <c r="G8" s="37"/>
      <c r="H8" s="94"/>
      <c r="I8" s="94"/>
      <c r="J8" s="94"/>
      <c r="K8" s="1"/>
      <c r="L8" s="1"/>
      <c r="M8" s="37"/>
      <c r="N8" s="37"/>
      <c r="O8" s="37"/>
      <c r="P8" s="37"/>
      <c r="Q8" s="37"/>
      <c r="R8" s="37"/>
      <c r="S8" s="37"/>
      <c r="T8" s="37"/>
      <c r="U8" s="285"/>
      <c r="V8" s="37"/>
      <c r="W8" s="37"/>
      <c r="X8" s="37"/>
      <c r="Y8" s="37"/>
      <c r="Z8" s="37"/>
    </row>
    <row r="9" s="38" customFormat="1" ht="15.75" customHeight="1">
      <c r="A9" s="37"/>
      <c r="B9" s="37"/>
      <c r="C9" s="87"/>
      <c r="D9" s="87"/>
      <c r="E9" s="39"/>
      <c r="F9" s="39"/>
      <c r="G9" s="40" t="s">
        <v>44</v>
      </c>
      <c r="H9" s="40" t="s">
        <v>45</v>
      </c>
      <c r="I9" s="40" t="s">
        <v>46</v>
      </c>
      <c r="J9" s="40" t="s">
        <v>47</v>
      </c>
      <c r="K9" s="40" t="s">
        <v>48</v>
      </c>
      <c r="L9" s="88" t="s">
        <v>257</v>
      </c>
      <c r="M9" s="88" t="s">
        <v>258</v>
      </c>
      <c r="N9" s="88" t="s">
        <v>259</v>
      </c>
      <c r="O9" s="88" t="s">
        <v>260</v>
      </c>
      <c r="P9" s="88" t="s">
        <v>261</v>
      </c>
      <c r="Q9" s="88" t="s">
        <v>262</v>
      </c>
      <c r="R9" s="88" t="s">
        <v>263</v>
      </c>
      <c r="S9" s="88" t="s">
        <v>264</v>
      </c>
      <c r="T9" s="88" t="s">
        <v>265</v>
      </c>
      <c r="U9" s="88" t="s">
        <v>266</v>
      </c>
      <c r="V9" s="89"/>
      <c r="W9" s="37"/>
      <c r="X9" s="37"/>
      <c r="Y9" s="37"/>
      <c r="Z9" s="37"/>
    </row>
    <row r="10" ht="15.75" customHeight="1">
      <c r="A10" s="15"/>
      <c r="B10" s="339" t="s">
        <v>311</v>
      </c>
      <c r="C10" s="339"/>
      <c r="D10" s="339"/>
      <c r="E10" s="339"/>
      <c r="F10" s="339"/>
      <c r="G10" s="44"/>
      <c r="H10" s="44"/>
      <c r="I10" s="44"/>
      <c r="J10" s="44"/>
      <c r="K10" s="44"/>
      <c r="L10" s="422"/>
      <c r="M10" s="422"/>
      <c r="N10" s="422"/>
      <c r="O10" s="422"/>
      <c r="P10" s="422"/>
      <c r="Q10" s="422"/>
      <c r="R10" s="422"/>
      <c r="S10" s="422"/>
      <c r="T10" s="422"/>
      <c r="U10" s="422"/>
    </row>
    <row r="11" ht="15.75" customHeight="1">
      <c r="A11" s="11"/>
      <c r="B11" s="397"/>
      <c r="C11" s="415" t="s">
        <v>312</v>
      </c>
      <c r="D11" s="415"/>
      <c r="E11" s="415"/>
      <c r="F11" s="397"/>
      <c r="G11" s="44" t="n">
        <f>'Balance Sheet'!G33+'Economic Balance Sheet'!G38</f>
        <v>1635820</v>
      </c>
      <c r="H11" s="44" t="n">
        <f>'Balance Sheet'!H33+'Economic Balance Sheet'!H38</f>
        <v>1589779</v>
      </c>
      <c r="I11" s="44" t="n">
        <f>'Balance Sheet'!I33+'Economic Balance Sheet'!I38</f>
        <v>1196186</v>
      </c>
      <c r="J11" s="44" t="n">
        <f>'Balance Sheet'!J33+'Economic Balance Sheet'!J38</f>
        <v>1895888</v>
      </c>
      <c r="K11" s="44" t="n">
        <f>'Balance Sheet'!K33+'Economic Balance Sheet'!K38</f>
        <v>1499220</v>
      </c>
      <c r="L11" s="422" t="n">
        <f t="shared" ref="L11:U11" si="0">K11</f>
        <v>1499220</v>
      </c>
      <c r="M11" s="422">
        <f t="shared" si="0"/>
        <v>1499220</v>
      </c>
      <c r="N11" s="422">
        <f t="shared" si="0"/>
        <v>1499220</v>
      </c>
      <c r="O11" s="422">
        <f t="shared" si="0"/>
        <v>1499220</v>
      </c>
      <c r="P11" s="422">
        <f t="shared" si="0"/>
        <v>1499220</v>
      </c>
      <c r="Q11" s="422">
        <f t="shared" si="0"/>
        <v>1499220</v>
      </c>
      <c r="R11" s="422">
        <f t="shared" si="0"/>
        <v>1499220</v>
      </c>
      <c r="S11" s="422">
        <f t="shared" si="0"/>
        <v>1499220</v>
      </c>
      <c r="T11" s="422">
        <f t="shared" si="0"/>
        <v>1499220</v>
      </c>
      <c r="U11" s="422">
        <f t="shared" si="0"/>
        <v>1499220</v>
      </c>
      <c r="V11" s="11"/>
      <c r="W11" s="11"/>
      <c r="X11" s="11"/>
      <c r="Y11" s="11"/>
      <c r="Z11" s="11"/>
    </row>
    <row r="12" ht="15.75" customHeight="1">
      <c r="A12" s="11"/>
      <c r="B12" s="397"/>
      <c r="C12" s="415" t="s">
        <v>313</v>
      </c>
      <c r="D12" s="415"/>
      <c r="E12" s="415"/>
      <c r="F12" s="416">
        <v>0.03</v>
      </c>
      <c r="G12" s="44" t="n">
        <f>'Revenue Recognition'!G58</f>
        <v>23669</v>
      </c>
      <c r="H12" s="44" t="n">
        <f>'Revenue Recognition'!H58</f>
        <v>25489</v>
      </c>
      <c r="I12" s="44" t="n">
        <f>'Revenue Recognition'!I58</f>
        <v>29258</v>
      </c>
      <c r="J12" s="44" t="n">
        <f>'Revenue Recognition'!J58</f>
        <v>40054</v>
      </c>
      <c r="K12" s="44" t="n">
        <f>'Revenue Recognition'!K58</f>
        <v>41168</v>
      </c>
      <c r="L12" s="422" t="n">
        <f t="shared" ref="L12:U12" si="1">$F$12*L11</f>
        <v>44976.6</v>
      </c>
      <c r="M12" s="422">
        <f t="shared" si="1"/>
        <v>44976.6</v>
      </c>
      <c r="N12" s="422">
        <f t="shared" si="1"/>
        <v>44976.6</v>
      </c>
      <c r="O12" s="422">
        <f t="shared" si="1"/>
        <v>44976.6</v>
      </c>
      <c r="P12" s="422">
        <f t="shared" si="1"/>
        <v>44976.6</v>
      </c>
      <c r="Q12" s="422">
        <f t="shared" si="1"/>
        <v>44976.6</v>
      </c>
      <c r="R12" s="422">
        <f t="shared" si="1"/>
        <v>44976.6</v>
      </c>
      <c r="S12" s="422">
        <f t="shared" si="1"/>
        <v>44976.6</v>
      </c>
      <c r="T12" s="422">
        <f t="shared" si="1"/>
        <v>44976.6</v>
      </c>
      <c r="U12" s="422">
        <f t="shared" si="1"/>
        <v>44976.6</v>
      </c>
      <c r="V12" s="11"/>
      <c r="W12" s="11"/>
      <c r="X12" s="11"/>
      <c r="Y12" s="11"/>
      <c r="Z12" s="11"/>
    </row>
    <row r="13" ht="15.75" customHeight="1">
      <c r="A13" s="11"/>
      <c r="B13" s="397"/>
      <c r="C13" s="415" t="s">
        <v>314</v>
      </c>
      <c r="D13" s="415"/>
      <c r="E13" s="415"/>
      <c r="F13" s="416">
        <v>1.4999999999999999E-2</v>
      </c>
      <c r="G13" s="44" t="n">
        <f>'Revenue Recognition'!G54</f>
        <v>1579</v>
      </c>
      <c r="H13" s="44" t="n">
        <f>'Revenue Recognition'!H54</f>
        <v>4150</v>
      </c>
      <c r="I13" s="44" t="n">
        <f>'Revenue Recognition'!I54</f>
        <v>25813</v>
      </c>
      <c r="J13" s="44" t="n">
        <f>'Revenue Recognition'!J54</f>
        <v>31486</v>
      </c>
      <c r="K13" s="44" t="n">
        <f>'Revenue Recognition'!K54</f>
        <v>20416</v>
      </c>
      <c r="L13" s="422" t="n">
        <f t="shared" ref="L13:U13" si="2">$F$13*L19</f>
        <v>22015.665</v>
      </c>
      <c r="M13" s="422">
        <f t="shared" si="2"/>
        <v>22682.827478947067</v>
      </c>
      <c r="N13" s="422">
        <f t="shared" si="2"/>
        <v>24554.974255640816</v>
      </c>
      <c r="O13" s="422">
        <f t="shared" si="2"/>
        <v>27655.440507947096</v>
      </c>
      <c r="P13" s="422">
        <f t="shared" si="2"/>
        <v>32169.400625639057</v>
      </c>
      <c r="Q13" s="422">
        <f t="shared" si="2"/>
        <v>37838.771876805928</v>
      </c>
      <c r="R13" s="422">
        <f t="shared" si="2"/>
        <v>44537.639353044855</v>
      </c>
      <c r="S13" s="422">
        <f t="shared" si="2"/>
        <v>52265.011856630583</v>
      </c>
      <c r="T13" s="422">
        <f t="shared" si="2"/>
        <v>61229.221438477267</v>
      </c>
      <c r="U13" s="422">
        <f t="shared" si="2"/>
        <v>71306.108649585542</v>
      </c>
      <c r="V13" s="11"/>
      <c r="W13" s="11"/>
      <c r="X13" s="11"/>
      <c r="Y13" s="11"/>
      <c r="Z13" s="11"/>
    </row>
    <row r="14" ht="15.75" customHeight="1">
      <c r="A14" s="11"/>
      <c r="B14" s="397"/>
      <c r="C14" s="415" t="s">
        <v>315</v>
      </c>
      <c r="D14" s="415"/>
      <c r="E14" s="415"/>
      <c r="F14" s="417">
        <v>10000</v>
      </c>
      <c r="G14" s="44" t="n">
        <f>'Historical Income Statement'!G18-G12+G13</f>
        <v>11167</v>
      </c>
      <c r="H14" s="44" t="n">
        <f>'Historical Income Statement'!H18-H12+H13</f>
        <v>28277</v>
      </c>
      <c r="I14" s="44" t="n">
        <f>'Historical Income Statement'!I18-I12+I13</f>
        <v>11570</v>
      </c>
      <c r="J14" s="44" t="n">
        <f>'Historical Income Statement'!J18-J12+J13</f>
        <v>-9773</v>
      </c>
      <c r="K14" s="44" t="n">
        <f>'Historical Income Statement'!K18-K12+K13</f>
        <v>25329</v>
      </c>
      <c r="L14" s="422" t="n">
        <f t="shared" ref="L14:U14" si="3">$F$14</f>
        <v>10000</v>
      </c>
      <c r="M14" s="422">
        <f t="shared" si="3"/>
        <v>10000</v>
      </c>
      <c r="N14" s="422">
        <f t="shared" si="3"/>
        <v>10000</v>
      </c>
      <c r="O14" s="422">
        <f t="shared" si="3"/>
        <v>10000</v>
      </c>
      <c r="P14" s="422">
        <f t="shared" si="3"/>
        <v>10000</v>
      </c>
      <c r="Q14" s="422">
        <f t="shared" si="3"/>
        <v>10000</v>
      </c>
      <c r="R14" s="422">
        <f t="shared" si="3"/>
        <v>10000</v>
      </c>
      <c r="S14" s="422">
        <f t="shared" si="3"/>
        <v>10000</v>
      </c>
      <c r="T14" s="422">
        <f t="shared" si="3"/>
        <v>10000</v>
      </c>
      <c r="U14" s="422">
        <f t="shared" si="3"/>
        <v>10000</v>
      </c>
      <c r="V14" s="11"/>
      <c r="W14" s="11"/>
      <c r="X14" s="11"/>
      <c r="Y14" s="11"/>
      <c r="Z14" s="11"/>
    </row>
    <row r="15" ht="15.75" customHeight="1">
      <c r="A15" s="11"/>
      <c r="B15" s="418" t="s">
        <v>316</v>
      </c>
      <c r="C15" s="418"/>
      <c r="D15" s="418"/>
      <c r="E15" s="418"/>
      <c r="F15" s="418"/>
      <c r="G15" s="44" t="n">
        <f t="shared" ref="G15:U15" si="4">G12-G13+G14</f>
        <v>33257</v>
      </c>
      <c r="H15" s="44">
        <f t="shared" si="4"/>
        <v>49616</v>
      </c>
      <c r="I15" s="44">
        <f t="shared" si="4"/>
        <v>15015</v>
      </c>
      <c r="J15" s="44">
        <f t="shared" si="4"/>
        <v>-1205</v>
      </c>
      <c r="K15" s="44">
        <f t="shared" si="4"/>
        <v>46081</v>
      </c>
      <c r="L15" s="422">
        <f t="shared" si="4"/>
        <v>32960.934999999998</v>
      </c>
      <c r="M15" s="422">
        <f t="shared" si="4"/>
        <v>32293.772521052932</v>
      </c>
      <c r="N15" s="422">
        <f t="shared" si="4"/>
        <v>30421.625744359182</v>
      </c>
      <c r="O15" s="422">
        <f t="shared" si="4"/>
        <v>27321.159492052902</v>
      </c>
      <c r="P15" s="422">
        <f t="shared" si="4"/>
        <v>22807.199374360942</v>
      </c>
      <c r="Q15" s="422">
        <f t="shared" si="4"/>
        <v>17137.828123194071</v>
      </c>
      <c r="R15" s="422">
        <f t="shared" si="4"/>
        <v>10438.960646955144</v>
      </c>
      <c r="S15" s="422">
        <f t="shared" si="4"/>
        <v>2711.5881433694158</v>
      </c>
      <c r="T15" s="422">
        <f t="shared" si="4"/>
        <v>-6252.6214384772684</v>
      </c>
      <c r="U15" s="422">
        <f t="shared" si="4"/>
        <v>-16329.508649585543</v>
      </c>
      <c r="V15" s="11"/>
      <c r="W15" s="11"/>
      <c r="X15" s="11"/>
      <c r="Y15" s="11"/>
      <c r="Z15" s="11"/>
    </row>
    <row r="16" ht="15.75" customHeight="1">
      <c r="A16" s="11"/>
      <c r="B16" s="397"/>
      <c r="C16" s="415"/>
      <c r="D16" s="415"/>
      <c r="E16" s="415"/>
      <c r="F16" s="415"/>
      <c r="G16" s="44"/>
      <c r="H16" s="44"/>
      <c r="I16" s="44"/>
      <c r="J16" s="44"/>
      <c r="K16" s="44"/>
      <c r="L16" s="422"/>
      <c r="M16" s="422"/>
      <c r="N16" s="422"/>
      <c r="O16" s="422"/>
      <c r="P16" s="422"/>
      <c r="Q16" s="422"/>
      <c r="R16" s="422"/>
      <c r="S16" s="422"/>
      <c r="T16" s="422"/>
      <c r="U16" s="422"/>
      <c r="V16" s="11"/>
      <c r="W16" s="11"/>
      <c r="X16" s="11"/>
      <c r="Y16" s="11"/>
      <c r="Z16" s="11"/>
    </row>
    <row r="17" ht="15.75" customHeight="1">
      <c r="A17" s="11"/>
      <c r="B17" s="397"/>
      <c r="C17" s="397"/>
      <c r="D17" s="397"/>
      <c r="E17" s="397"/>
      <c r="F17" s="397"/>
      <c r="G17" s="44"/>
      <c r="H17" s="44"/>
      <c r="I17" s="44"/>
      <c r="J17" s="44"/>
      <c r="K17" s="44"/>
      <c r="L17" s="422"/>
      <c r="M17" s="422"/>
      <c r="N17" s="422"/>
      <c r="O17" s="422"/>
      <c r="P17" s="422"/>
      <c r="Q17" s="422"/>
      <c r="R17" s="422"/>
      <c r="S17" s="422"/>
      <c r="T17" s="422"/>
      <c r="U17" s="422"/>
      <c r="V17" s="11"/>
      <c r="W17" s="11"/>
      <c r="X17" s="11"/>
      <c r="Y17" s="11"/>
      <c r="Z17" s="11"/>
    </row>
    <row r="18" ht="15.75" customHeight="1">
      <c r="A18" s="11"/>
      <c r="B18" s="418" t="s">
        <v>317</v>
      </c>
      <c r="C18" s="418"/>
      <c r="D18" s="418"/>
      <c r="E18" s="418"/>
      <c r="F18" s="418"/>
      <c r="G18" s="44"/>
      <c r="H18" s="44"/>
      <c r="I18" s="44"/>
      <c r="J18" s="44"/>
      <c r="K18" s="44"/>
      <c r="L18" s="422"/>
      <c r="M18" s="422"/>
      <c r="N18" s="422"/>
      <c r="O18" s="422"/>
      <c r="P18" s="422"/>
      <c r="Q18" s="422"/>
      <c r="R18" s="422"/>
      <c r="S18" s="422"/>
      <c r="T18" s="422"/>
      <c r="U18" s="422"/>
      <c r="V18" s="11"/>
      <c r="W18" s="11"/>
      <c r="X18" s="11"/>
      <c r="Y18" s="11"/>
      <c r="Z18" s="11"/>
    </row>
    <row r="19" ht="15.75" customHeight="1">
      <c r="A19" s="11"/>
      <c r="B19" s="397"/>
      <c r="C19" s="415" t="s">
        <v>318</v>
      </c>
      <c r="D19" s="415"/>
      <c r="E19" s="415"/>
      <c r="F19" s="415"/>
      <c r="G19" s="44"/>
      <c r="H19" s="44"/>
      <c r="I19" s="44"/>
      <c r="J19" s="44"/>
      <c r="K19" s="44"/>
      <c r="L19" s="422" t="n">
        <f>'Balance Sheet'!K22</f>
        <v>1467711</v>
      </c>
      <c r="M19" s="422" t="n">
        <f t="shared" ref="M19:U19" si="5">L26</f>
        <v>1512188.4985964713</v>
      </c>
      <c r="N19" s="422">
        <f t="shared" si="5"/>
        <v>1636998.2837093878</v>
      </c>
      <c r="O19" s="422">
        <f t="shared" si="5"/>
        <v>1843696.0338631398</v>
      </c>
      <c r="P19" s="422">
        <f t="shared" si="5"/>
        <v>2144626.7083759373</v>
      </c>
      <c r="Q19" s="422">
        <f t="shared" si="5"/>
        <v>2522584.7917870618</v>
      </c>
      <c r="R19" s="422">
        <f t="shared" si="5"/>
        <v>2969175.9568696572</v>
      </c>
      <c r="S19" s="422">
        <f t="shared" si="5"/>
        <v>3484334.1237753723</v>
      </c>
      <c r="T19" s="422">
        <f t="shared" si="5"/>
        <v>4081948.0958984848</v>
      </c>
      <c r="U19" s="422">
        <f t="shared" si="5"/>
        <v>4753740.5766390366</v>
      </c>
      <c r="V19" s="11"/>
      <c r="W19" s="11"/>
      <c r="X19" s="11"/>
      <c r="Y19" s="11"/>
      <c r="Z19" s="11"/>
    </row>
    <row r="20" ht="15.75" customHeight="1">
      <c r="A20" s="11"/>
      <c r="B20" s="397"/>
      <c r="C20" s="415" t="s">
        <v>319</v>
      </c>
      <c r="D20" s="415"/>
      <c r="E20" s="415"/>
      <c r="F20" s="415"/>
      <c r="G20" s="44"/>
      <c r="H20" s="44"/>
      <c r="I20" s="44"/>
      <c r="J20" s="44"/>
      <c r="K20" s="44"/>
      <c r="L20" s="422" t="n">
        <f>Forecasts!L43</f>
        <v>1708493.393956375</v>
      </c>
      <c r="M20" s="422" t="n">
        <f>Forecasts!M43</f>
        <v>1822029.035829896</v>
      </c>
      <c r="N20" s="422" t="n">
        <f>Forecasts!N43</f>
        <v>1942714.7806159123</v>
      </c>
      <c r="O20" s="422" t="n">
        <f>Forecasts!O43</f>
        <v>2060365.7382352017</v>
      </c>
      <c r="P20" s="422" t="n">
        <f>Forecasts!P43</f>
        <v>2173561.386606745</v>
      </c>
      <c r="Q20" s="422" t="n">
        <f>Forecasts!Q43</f>
        <v>2274257.0535847354</v>
      </c>
      <c r="R20" s="422" t="n">
        <f>Forecasts!R43</f>
        <v>2366642.7571123526</v>
      </c>
      <c r="S20" s="422" t="n">
        <f>Forecasts!S43</f>
        <v>2446428.7524175146</v>
      </c>
      <c r="T20" s="422" t="n">
        <f>Forecasts!T43</f>
        <v>2527429.352206569</v>
      </c>
      <c r="U20" s="422" t="n">
        <f>Forecasts!U43</f>
        <v>2593788.429940245</v>
      </c>
      <c r="V20" s="11"/>
      <c r="W20" s="11"/>
      <c r="X20" s="11"/>
      <c r="Y20" s="11"/>
      <c r="Z20" s="11"/>
    </row>
    <row r="21" ht="15.75" customHeight="1">
      <c r="A21" s="11"/>
      <c r="B21" s="397"/>
      <c r="C21" s="415" t="s">
        <v>320</v>
      </c>
      <c r="D21" s="415"/>
      <c r="E21" s="415"/>
      <c r="F21" s="415"/>
      <c r="G21" s="44"/>
      <c r="H21" s="44"/>
      <c r="I21" s="44"/>
      <c r="J21" s="44"/>
      <c r="K21" s="44"/>
      <c r="L21" s="422" t="n">
        <f>Forecasts!L29+Forecasts!L38</f>
        <v>698504.213535</v>
      </c>
      <c r="M21" s="422" t="n">
        <f>Forecasts!M29+Forecasts!M38</f>
        <v>747764.8238265499</v>
      </c>
      <c r="N21" s="422" t="n">
        <f>Forecasts!N29+Forecasts!N38</f>
        <v>800071.9162578405</v>
      </c>
      <c r="O21" s="422" t="n">
        <f>Forecasts!O29+Forecasts!O38</f>
        <v>861064.0866864421</v>
      </c>
      <c r="P21" s="422" t="n">
        <f>Forecasts!P29+Forecasts!P38</f>
        <v>912908.7507879136</v>
      </c>
      <c r="Q21" s="422" t="n">
        <f>Forecasts!Q29+Forecasts!Q38</f>
        <v>963912.7662634914</v>
      </c>
      <c r="R21" s="422" t="n">
        <f>Forecasts!R29+Forecasts!R38</f>
        <v>1013173.8468563561</v>
      </c>
      <c r="S21" s="422" t="n">
        <f>Forecasts!S29+Forecasts!S38</f>
        <v>1069666.3690330621</v>
      </c>
      <c r="T21" s="422" t="n">
        <f>Forecasts!T29+Forecasts!T38</f>
        <v>1117375.186328182</v>
      </c>
      <c r="U21" s="422" t="n">
        <f>Forecasts!U29+Forecasts!U38</f>
        <v>1160956.4437639588</v>
      </c>
      <c r="V21" s="11"/>
      <c r="W21" s="11"/>
      <c r="X21" s="11"/>
      <c r="Y21" s="11"/>
      <c r="Z21" s="11"/>
    </row>
    <row r="22" ht="15.75" customHeight="1">
      <c r="A22" s="11"/>
      <c r="B22" s="397"/>
      <c r="C22" s="415" t="s">
        <v>321</v>
      </c>
      <c r="D22" s="415"/>
      <c r="E22" s="415"/>
      <c r="F22" s="415"/>
      <c r="G22" s="44"/>
      <c r="H22" s="44"/>
      <c r="I22" s="44"/>
      <c r="J22" s="44"/>
      <c r="K22" s="44"/>
      <c r="L22" s="422" t="n">
        <f>-'Capex &amp; D&amp;A Schedule'!L14</f>
        <v>-1051511.7193000002</v>
      </c>
      <c r="M22" s="422" t="n">
        <f>-'Capex &amp; D&amp;A Schedule'!M14</f>
        <v>-1097782.40093685</v>
      </c>
      <c r="N22" s="422" t="n">
        <f>-'Capex &amp; D&amp;A Schedule'!N14</f>
        <v>-1145366.111695435</v>
      </c>
      <c r="O22" s="422" t="n">
        <f>-'Capex &amp; D&amp;A Schedule'!O14</f>
        <v>-1180634.2631886269</v>
      </c>
      <c r="P22" s="422" t="n">
        <f>-'Capex &amp; D&amp;A Schedule'!P14</f>
        <v>-1220316.7995226195</v>
      </c>
      <c r="Q22" s="422" t="n">
        <f>-'Capex &amp; D&amp;A Schedule'!Q14</f>
        <v>-1256007.5439190948</v>
      </c>
      <c r="R22" s="422" t="n">
        <f>-'Capex &amp; D&amp;A Schedule'!R14</f>
        <v>-1286730.7855075723</v>
      </c>
      <c r="S22" s="422" t="n">
        <f>-'Capex &amp; D&amp;A Schedule'!S14</f>
        <v>-1300378.7231382325</v>
      </c>
      <c r="T22" s="422" t="n">
        <f>-'Capex &amp; D&amp;A Schedule'!T14</f>
        <v>-1323492.939146002</v>
      </c>
      <c r="U22" s="422" t="n">
        <f>-'Capex &amp; D&amp;A Schedule'!U14</f>
        <v>-1339565.1274199523</v>
      </c>
      <c r="V22" s="11"/>
      <c r="W22" s="11"/>
      <c r="X22" s="11"/>
      <c r="Y22" s="11"/>
      <c r="Z22" s="11"/>
    </row>
    <row r="23" ht="15.75" customHeight="1">
      <c r="A23" s="11"/>
      <c r="B23" s="397"/>
      <c r="C23" s="415" t="s">
        <v>322</v>
      </c>
      <c r="D23" s="415"/>
      <c r="E23" s="415"/>
      <c r="F23" s="415"/>
      <c r="G23" s="44"/>
      <c r="H23" s="44"/>
      <c r="I23" s="44"/>
      <c r="J23" s="44"/>
      <c r="K23" s="44"/>
      <c r="L23" s="422" t="n">
        <f>-'WC Schedule'!L31</f>
        <v>28798.010405096225</v>
      </c>
      <c r="M23" s="422" t="n">
        <f>-'WC Schedule'!M31</f>
        <v>36195.683975870954</v>
      </c>
      <c r="N23" s="422" t="n">
        <f>-'WC Schedule'!N31</f>
        <v>38088.779307392426</v>
      </c>
      <c r="O23" s="422" t="n">
        <f>-'WC Schedule'!O31</f>
        <v>37221.025026145624</v>
      </c>
      <c r="P23" s="422" t="n">
        <f>-'WC Schedule'!P31</f>
        <v>35951.0408331668</v>
      </c>
      <c r="Q23" s="422" t="n">
        <f>-'WC Schedule'!Q31</f>
        <v>33853.443796160514</v>
      </c>
      <c r="R23" s="422" t="n">
        <f>-'WC Schedule'!R31</f>
        <v>31775.16987847397</v>
      </c>
      <c r="S23" s="422" t="n">
        <f>-'WC Schedule'!S31</f>
        <v>28554.676655710442</v>
      </c>
      <c r="T23" s="422" t="n">
        <f>-'WC Schedule'!T31</f>
        <v>29052.38231880858</v>
      </c>
      <c r="U23" s="422" t="n">
        <f>-'WC Schedule'!U31</f>
        <v>25303.02234564349</v>
      </c>
      <c r="V23" s="11"/>
      <c r="W23" s="11"/>
      <c r="X23" s="11"/>
      <c r="Y23" s="11"/>
      <c r="Z23" s="11"/>
    </row>
    <row r="24" ht="15.75" customHeight="1">
      <c r="A24" s="11"/>
      <c r="B24" s="397"/>
      <c r="C24" s="415" t="s">
        <v>323</v>
      </c>
      <c r="D24" s="415"/>
      <c r="E24" s="415"/>
      <c r="F24" s="416">
        <v>0.4</v>
      </c>
      <c r="G24" s="44"/>
      <c r="H24" s="44"/>
      <c r="I24" s="44"/>
      <c r="J24" s="44"/>
      <c r="K24" s="44"/>
      <c r="L24" s="422" t="n">
        <f>-$F$24*Forecasts!K43</f>
        <v>-639806.4</v>
      </c>
      <c r="M24" s="422" t="n">
        <f>-$F$24*Forecasts!L43</f>
        <v>-683397.35758255</v>
      </c>
      <c r="N24" s="422" t="n">
        <f>-$F$24*Forecasts!M43</f>
        <v>-728811.6143319585</v>
      </c>
      <c r="O24" s="422" t="n">
        <f>-$F$24*Forecasts!N43</f>
        <v>-777085.912246365</v>
      </c>
      <c r="P24" s="422" t="n">
        <f>-$F$24*Forecasts!O43</f>
        <v>-824146.2952940807</v>
      </c>
      <c r="Q24" s="422" t="n">
        <f>-$F$24*Forecasts!P43</f>
        <v>-869424.554642698</v>
      </c>
      <c r="R24" s="422" t="n">
        <f>-$F$24*Forecasts!Q43</f>
        <v>-909702.8214338942</v>
      </c>
      <c r="S24" s="422" t="n">
        <f>-$F$24*Forecasts!R43</f>
        <v>-946657.1028449411</v>
      </c>
      <c r="T24" s="422" t="n">
        <f>-$F$24*Forecasts!S43</f>
        <v>-978571.5009670058</v>
      </c>
      <c r="U24" s="422" t="n">
        <f>-$F$24*Forecasts!T43</f>
        <v>-1010971.7408826277</v>
      </c>
      <c r="V24" s="11"/>
      <c r="W24" s="11"/>
      <c r="X24" s="11"/>
      <c r="Y24" s="11"/>
      <c r="Z24" s="11"/>
    </row>
    <row r="25" ht="15.75" customHeight="1">
      <c r="A25" s="11"/>
      <c r="B25" s="19"/>
      <c r="C25" s="340" t="s">
        <v>324</v>
      </c>
      <c r="D25" s="340"/>
      <c r="E25" s="340"/>
      <c r="F25" s="340"/>
      <c r="G25" s="44"/>
      <c r="H25" s="44"/>
      <c r="I25" s="44"/>
      <c r="J25" s="44"/>
      <c r="K25" s="44"/>
      <c r="L25" s="422" t="n">
        <f>-'Buyback &amp; Share Count'!L10</f>
        <v>-700000</v>
      </c>
      <c r="M25" s="422" t="n">
        <f>-'Buyback &amp; Share Count'!M10</f>
        <v>-700000</v>
      </c>
      <c r="N25" s="422" t="n">
        <f>-'Buyback &amp; Share Count'!N10</f>
        <v>-700000</v>
      </c>
      <c r="O25" s="422" t="n">
        <f>-'Buyback &amp; Share Count'!O10</f>
        <v>-700000</v>
      </c>
      <c r="P25" s="422" t="n">
        <f>-'Buyback &amp; Share Count'!P10</f>
        <v>-700000</v>
      </c>
      <c r="Q25" s="422" t="n">
        <f>-'Buyback &amp; Share Count'!Q10</f>
        <v>-700000</v>
      </c>
      <c r="R25" s="422" t="n">
        <f>-'Buyback &amp; Share Count'!R10</f>
        <v>-700000</v>
      </c>
      <c r="S25" s="422" t="n">
        <f>-'Buyback &amp; Share Count'!S10</f>
        <v>-700000</v>
      </c>
      <c r="T25" s="422" t="n">
        <f>-'Buyback &amp; Share Count'!T10</f>
        <v>-700000</v>
      </c>
      <c r="U25" s="422" t="n">
        <f>-'Buyback &amp; Share Count'!U10</f>
        <v>-700000</v>
      </c>
      <c r="V25" s="11"/>
      <c r="W25" s="11"/>
      <c r="X25" s="11"/>
      <c r="Y25" s="11"/>
      <c r="Z25" s="11"/>
    </row>
    <row r="26" ht="15.75" customHeight="1">
      <c r="A26" s="11"/>
      <c r="B26" s="339" t="s">
        <v>325</v>
      </c>
      <c r="C26" s="339"/>
      <c r="D26" s="339"/>
      <c r="E26" s="339"/>
      <c r="F26" s="339"/>
      <c r="G26" s="44"/>
      <c r="H26" s="44"/>
      <c r="I26" s="44"/>
      <c r="J26" s="44"/>
      <c r="K26" s="44"/>
      <c r="L26" s="422" t="n">
        <f t="shared" ref="L26:U26" si="6">SUM(L19:L25)</f>
        <v>1512188.4985964713</v>
      </c>
      <c r="M26" s="422">
        <f t="shared" si="6"/>
        <v>1636998.2837093878</v>
      </c>
      <c r="N26" s="422">
        <f t="shared" si="6"/>
        <v>1843696.0338631398</v>
      </c>
      <c r="O26" s="422">
        <f t="shared" si="6"/>
        <v>2144626.7083759373</v>
      </c>
      <c r="P26" s="422">
        <f t="shared" si="6"/>
        <v>2522584.7917870618</v>
      </c>
      <c r="Q26" s="422">
        <f t="shared" si="6"/>
        <v>2969175.9568696572</v>
      </c>
      <c r="R26" s="422">
        <f t="shared" si="6"/>
        <v>3484334.1237753723</v>
      </c>
      <c r="S26" s="422">
        <f t="shared" si="6"/>
        <v>4081948.0958984848</v>
      </c>
      <c r="T26" s="422">
        <f t="shared" si="6"/>
        <v>4753740.5766390366</v>
      </c>
      <c r="U26" s="422">
        <f t="shared" si="6"/>
        <v>5483251.6043863036</v>
      </c>
      <c r="V26" s="11"/>
      <c r="W26" s="11"/>
      <c r="X26" s="11"/>
      <c r="Y26" s="11"/>
      <c r="Z26" s="11"/>
    </row>
    <row r="27" ht="15.75" customHeight="1">
      <c r="A27" s="11"/>
      <c r="B27" s="19"/>
      <c r="C27" s="19"/>
      <c r="D27" s="19"/>
      <c r="E27" s="19"/>
      <c r="F27" s="19"/>
      <c r="G27" s="44"/>
      <c r="H27" s="44"/>
      <c r="I27" s="44"/>
      <c r="J27" s="44"/>
      <c r="K27" s="44"/>
      <c r="L27" s="422"/>
      <c r="M27" s="422"/>
      <c r="N27" s="422"/>
      <c r="O27" s="422"/>
      <c r="P27" s="422"/>
      <c r="Q27" s="422"/>
      <c r="R27" s="422"/>
      <c r="S27" s="422"/>
      <c r="T27" s="422"/>
      <c r="U27" s="422"/>
      <c r="V27" s="11"/>
      <c r="W27" s="11"/>
      <c r="X27" s="11"/>
      <c r="Y27" s="11"/>
      <c r="Z27" s="11"/>
    </row>
    <row r="28" ht="15.75" customHeight="1">
      <c r="A28" s="11"/>
      <c r="B28" s="19"/>
      <c r="C28" s="340" t="s">
        <v>326</v>
      </c>
      <c r="D28" s="340"/>
      <c r="E28" s="340"/>
      <c r="F28" s="340"/>
      <c r="G28" s="44" t="n">
        <f>G11-'Balance Sheet'!G22</f>
        <v>291674</v>
      </c>
      <c r="H28" s="44" t="n">
        <f>H11-'Balance Sheet'!H22</f>
        <v>200878</v>
      </c>
      <c r="I28" s="44" t="n">
        <f>I11-'Balance Sheet'!I22</f>
        <v>74205</v>
      </c>
      <c r="J28" s="44" t="n">
        <f>J11-'Balance Sheet'!J22</f>
        <v>153674</v>
      </c>
      <c r="K28" s="44" t="n">
        <f>K11-'Balance Sheet'!K22</f>
        <v>31509</v>
      </c>
      <c r="L28" s="422" t="n">
        <f t="shared" ref="L28:U28" si="7">L11-L26</f>
        <v>-12968.498596471269</v>
      </c>
      <c r="M28" s="422">
        <f t="shared" si="7"/>
        <v>-137778.28370938776</v>
      </c>
      <c r="N28" s="422" t="n">
        <f>N11-N26</f>
        <v>-344476.0338631398</v>
      </c>
      <c r="O28" s="422">
        <f t="shared" si="7"/>
        <v>-645406.70837593731</v>
      </c>
      <c r="P28" s="422">
        <f t="shared" si="7"/>
        <v>-1023364.7917870618</v>
      </c>
      <c r="Q28" s="422">
        <f t="shared" si="7"/>
        <v>-1469955.9568696572</v>
      </c>
      <c r="R28" s="422">
        <f t="shared" si="7"/>
        <v>-1985114.1237753723</v>
      </c>
      <c r="S28" s="422">
        <f t="shared" si="7"/>
        <v>-2582728.0958984848</v>
      </c>
      <c r="T28" s="422">
        <f t="shared" si="7"/>
        <v>-3254520.5766390366</v>
      </c>
      <c r="U28" s="422">
        <f t="shared" si="7"/>
        <v>-3984031.6043863036</v>
      </c>
      <c r="V28" s="11"/>
      <c r="W28" s="11"/>
      <c r="X28" s="11"/>
      <c r="Y28" s="11"/>
      <c r="Z28" s="11"/>
    </row>
    <row r="29" ht="15.75" customHeight="1">
      <c r="A29" s="11"/>
      <c r="B29" s="19"/>
      <c r="C29" s="19"/>
      <c r="D29" s="19"/>
      <c r="E29" s="19"/>
      <c r="F29" s="19"/>
      <c r="G29" s="200"/>
      <c r="H29" s="200"/>
      <c r="I29" s="200"/>
      <c r="J29" s="200"/>
      <c r="K29" s="200"/>
      <c r="L29" s="423"/>
      <c r="M29" s="423"/>
      <c r="N29" s="423"/>
      <c r="O29" s="423"/>
      <c r="P29" s="423"/>
      <c r="Q29" s="423"/>
      <c r="R29" s="423"/>
      <c r="S29" s="423"/>
      <c r="T29" s="423"/>
      <c r="U29" s="423"/>
      <c r="V29" s="11"/>
      <c r="W29" s="11"/>
      <c r="X29" s="11"/>
      <c r="Y29" s="11"/>
      <c r="Z29" s="11"/>
    </row>
    <row r="30" ht="15.75" customHeight="1">
      <c r="A30" s="11"/>
      <c r="B30" s="420" t="s">
        <v>327</v>
      </c>
      <c r="C30" s="420"/>
      <c r="D30" s="420"/>
      <c r="E30" s="420"/>
      <c r="F30" s="45"/>
      <c r="G30" s="44"/>
      <c r="H30" s="44"/>
      <c r="I30" s="44"/>
      <c r="J30" s="44"/>
      <c r="K30" s="44"/>
      <c r="L30" s="422"/>
      <c r="M30" s="422"/>
      <c r="N30" s="422"/>
      <c r="O30" s="422"/>
      <c r="P30" s="422"/>
      <c r="Q30" s="422"/>
      <c r="R30" s="422"/>
      <c r="S30" s="422"/>
      <c r="T30" s="422"/>
      <c r="U30" s="422"/>
      <c r="V30" s="11"/>
      <c r="W30" s="11"/>
      <c r="X30" s="11"/>
      <c r="Y30" s="11"/>
      <c r="Z30" s="11"/>
    </row>
    <row r="31" ht="15.75" customHeight="1">
      <c r="A31" s="11"/>
      <c r="B31" s="19"/>
      <c r="C31" s="419" t="s">
        <v>328</v>
      </c>
      <c r="D31" s="419"/>
      <c r="E31" s="419"/>
      <c r="F31" s="419"/>
      <c r="G31" s="44" t="n">
        <f>'Balance Sheet'!G30</f>
        <v>101200</v>
      </c>
      <c r="H31" s="44" t="n">
        <f>'Balance Sheet'!H30</f>
        <v>110807</v>
      </c>
      <c r="I31" s="44" t="n">
        <f>'Balance Sheet'!I30</f>
        <v>123045</v>
      </c>
      <c r="J31" s="44" t="n">
        <f>'Balance Sheet'!J30</f>
        <v>134147</v>
      </c>
      <c r="K31" s="44" t="n">
        <f>'Balance Sheet'!K30</f>
        <v>145294</v>
      </c>
      <c r="L31" s="422" t="n">
        <f>K31*Forecasts!L15/Forecasts!K15</f>
        <v>152716.10887528534</v>
      </c>
      <c r="M31" s="422" t="n">
        <f>L31*Forecasts!M15/Forecasts!L15</f>
        <v>161746.89260661925</v>
      </c>
      <c r="N31" s="422" t="n">
        <f>M31*Forecasts!N15/Forecasts!M15</f>
        <v>171239.5939155016</v>
      </c>
      <c r="O31" s="422" t="n">
        <f>N31*Forecasts!O15/Forecasts!N15</f>
        <v>180493.8921140629</v>
      </c>
      <c r="P31" s="422" t="n">
        <f>O31*Forecasts!P15/Forecasts!O15</f>
        <v>189408.76076606853</v>
      </c>
      <c r="Q31" s="422" t="n">
        <f>P31*Forecasts!Q15/Forecasts!P15</f>
        <v>197970.87649031452</v>
      </c>
      <c r="R31" s="422" t="n">
        <f>Q31*Forecasts!R15/Forecasts!Q15</f>
        <v>206007.3611473916</v>
      </c>
      <c r="S31" s="422" t="n">
        <f>R31*Forecasts!S15/Forecasts!R15</f>
        <v>213229.32791292193</v>
      </c>
      <c r="T31" s="422" t="n">
        <f>S31*Forecasts!T15/Forecasts!S15</f>
        <v>220577.17296456438</v>
      </c>
      <c r="U31" s="422" t="n">
        <f>T31*Forecasts!U15/Forecasts!T15</f>
        <v>226976.74066589083</v>
      </c>
      <c r="V31" s="11"/>
      <c r="W31" s="11"/>
      <c r="X31" s="11"/>
      <c r="Y31" s="11"/>
      <c r="Z31" s="11"/>
    </row>
    <row r="32" ht="15.75" customHeight="1">
      <c r="A32" s="11"/>
      <c r="B32" s="19"/>
      <c r="C32" s="421" t="s">
        <v>329</v>
      </c>
      <c r="D32" s="421"/>
      <c r="E32" s="421"/>
      <c r="F32" s="421"/>
      <c r="G32" s="44" t="n">
        <f>'Balance Sheet'!G35</f>
        <v>36520</v>
      </c>
      <c r="H32" s="44" t="n">
        <f>'Balance Sheet'!H35</f>
        <v>19993</v>
      </c>
      <c r="I32" s="44" t="n">
        <f>'Balance Sheet'!I35</f>
        <v>13539</v>
      </c>
      <c r="J32" s="44" t="n">
        <f>'Balance Sheet'!J35</f>
        <v>61894</v>
      </c>
      <c r="K32" s="44" t="n">
        <f>'Balance Sheet'!K35</f>
        <v>7405</v>
      </c>
      <c r="L32" s="422" t="n">
        <f t="shared" ref="L32:U33" si="8">K32</f>
        <v>7405</v>
      </c>
      <c r="M32" s="422">
        <f t="shared" si="8"/>
        <v>7405</v>
      </c>
      <c r="N32" s="422">
        <f t="shared" si="8"/>
        <v>7405</v>
      </c>
      <c r="O32" s="422">
        <f t="shared" si="8"/>
        <v>7405</v>
      </c>
      <c r="P32" s="422">
        <f t="shared" si="8"/>
        <v>7405</v>
      </c>
      <c r="Q32" s="422">
        <f t="shared" si="8"/>
        <v>7405</v>
      </c>
      <c r="R32" s="422">
        <f t="shared" si="8"/>
        <v>7405</v>
      </c>
      <c r="S32" s="422">
        <f t="shared" si="8"/>
        <v>7405</v>
      </c>
      <c r="T32" s="422">
        <f t="shared" si="8"/>
        <v>7405</v>
      </c>
      <c r="U32" s="422">
        <f t="shared" si="8"/>
        <v>7405</v>
      </c>
      <c r="V32" s="11"/>
      <c r="W32" s="11"/>
      <c r="X32" s="11"/>
      <c r="Y32" s="11"/>
      <c r="Z32" s="11"/>
    </row>
    <row r="33" ht="15.75" customHeight="1">
      <c r="A33" s="11"/>
      <c r="B33" s="19"/>
      <c r="C33" s="419" t="s">
        <v>223</v>
      </c>
      <c r="D33" s="419"/>
      <c r="E33" s="419"/>
      <c r="F33" s="419"/>
      <c r="G33" s="44" t="n">
        <f>-'Balance Sheet'!G21</f>
        <v>-13500</v>
      </c>
      <c r="H33" s="44" t="n">
        <f>-'Balance Sheet'!H21</f>
        <v>-87301</v>
      </c>
      <c r="I33" s="44" t="n">
        <f>-'Balance Sheet'!I21</f>
        <v>-61130</v>
      </c>
      <c r="J33" s="44" t="n">
        <f>-'Balance Sheet'!J21</f>
        <v>-25006</v>
      </c>
      <c r="K33" s="44" t="n">
        <f>-'Balance Sheet'!K21</f>
        <v>-78085</v>
      </c>
      <c r="L33" s="422">
        <f t="shared" si="8"/>
        <v>-78085</v>
      </c>
      <c r="M33" s="422">
        <f t="shared" si="8"/>
        <v>-78085</v>
      </c>
      <c r="N33" s="422">
        <f t="shared" si="8"/>
        <v>-78085</v>
      </c>
      <c r="O33" s="422">
        <f t="shared" si="8"/>
        <v>-78085</v>
      </c>
      <c r="P33" s="422">
        <f t="shared" si="8"/>
        <v>-78085</v>
      </c>
      <c r="Q33" s="422">
        <f t="shared" si="8"/>
        <v>-78085</v>
      </c>
      <c r="R33" s="422">
        <f t="shared" si="8"/>
        <v>-78085</v>
      </c>
      <c r="S33" s="422">
        <f t="shared" si="8"/>
        <v>-78085</v>
      </c>
      <c r="T33" s="422">
        <f t="shared" si="8"/>
        <v>-78085</v>
      </c>
      <c r="U33" s="422">
        <f t="shared" si="8"/>
        <v>-78085</v>
      </c>
      <c r="V33" s="11"/>
      <c r="W33" s="11"/>
      <c r="X33" s="11"/>
      <c r="Y33" s="11"/>
      <c r="Z33" s="11"/>
    </row>
    <row r="34" ht="15.75" customHeight="1">
      <c r="A34" s="11"/>
      <c r="B34" s="19"/>
      <c r="C34" s="419" t="s">
        <v>330</v>
      </c>
      <c r="D34" s="419"/>
      <c r="E34" s="419"/>
      <c r="F34" s="419"/>
      <c r="G34" s="44" t="n">
        <f>-'Balance Sheet'!G13</f>
        <v>-54509</v>
      </c>
      <c r="H34" s="44" t="n">
        <f>-'Balance Sheet'!H13</f>
        <v>-59534</v>
      </c>
      <c r="I34" s="44" t="n">
        <f>-'Balance Sheet'!I13</f>
        <v>-67671</v>
      </c>
      <c r="J34" s="44" t="n">
        <f>-'Balance Sheet'!J13</f>
        <v>-80822</v>
      </c>
      <c r="K34" s="44" t="n">
        <f>-'Balance Sheet'!K13</f>
        <v>-96444</v>
      </c>
      <c r="L34" s="422" t="n">
        <f>K34*Forecasts!L34/Forecasts!K34</f>
        <v>-101266.20000000001</v>
      </c>
      <c r="M34" s="422" t="n">
        <f>L34*Forecasts!M34/Forecasts!L34</f>
        <v>-106329.51000000002</v>
      </c>
      <c r="N34" s="422" t="n">
        <f>M34*Forecasts!N34/Forecasts!M34</f>
        <v>-111645.98550000002</v>
      </c>
      <c r="O34" s="422" t="n">
        <f>N34*Forecasts!O34/Forecasts!N34</f>
        <v>-117228.28477500002</v>
      </c>
      <c r="P34" s="422" t="n">
        <f>O34*Forecasts!P34/Forecasts!O34</f>
        <v>-123089.69901375003</v>
      </c>
      <c r="Q34" s="422" t="n">
        <f>P34*Forecasts!Q34/Forecasts!P34</f>
        <v>-129244.18396443753</v>
      </c>
      <c r="R34" s="422" t="n">
        <f>Q34*Forecasts!R34/Forecasts!Q34</f>
        <v>-135706.3931626594</v>
      </c>
      <c r="S34" s="422" t="n">
        <f>R34*Forecasts!S34/Forecasts!R34</f>
        <v>-142491.71282079237</v>
      </c>
      <c r="T34" s="422" t="n">
        <f>S34*Forecasts!T34/Forecasts!S34</f>
        <v>-149616.298461832</v>
      </c>
      <c r="U34" s="422" t="n">
        <f>T34*Forecasts!U34/Forecasts!T34</f>
        <v>-157097.11338492358</v>
      </c>
      <c r="V34" s="11"/>
      <c r="W34" s="11"/>
      <c r="X34" s="11"/>
      <c r="Y34" s="11"/>
      <c r="Z34" s="11"/>
    </row>
    <row r="35" ht="15.75" customHeight="1">
      <c r="A35" s="11"/>
      <c r="B35" s="420" t="s">
        <v>331</v>
      </c>
      <c r="C35" s="420"/>
      <c r="D35" s="420"/>
      <c r="E35" s="420"/>
      <c r="F35" s="420"/>
      <c r="G35" s="44" t="n">
        <f t="shared" ref="G35:U35" si="9">G28+SUM(G31:G34)</f>
        <v>361385</v>
      </c>
      <c r="H35" s="44">
        <f t="shared" si="9"/>
        <v>184843</v>
      </c>
      <c r="I35" s="44">
        <f t="shared" si="9"/>
        <v>81988</v>
      </c>
      <c r="J35" s="44">
        <f t="shared" si="9"/>
        <v>243887</v>
      </c>
      <c r="K35" s="44">
        <f t="shared" si="9"/>
        <v>9679</v>
      </c>
      <c r="L35" s="422">
        <f t="shared" si="9"/>
        <v>-32198.589721185941</v>
      </c>
      <c r="M35" s="422">
        <f t="shared" si="9"/>
        <v>-153040.90110276855</v>
      </c>
      <c r="N35" s="422">
        <f t="shared" si="9"/>
        <v>-355562.4254476382</v>
      </c>
      <c r="O35" s="422">
        <f t="shared" si="9"/>
        <v>-652821.10103687446</v>
      </c>
      <c r="P35" s="422">
        <f t="shared" si="9"/>
        <v>-1027725.7300347433</v>
      </c>
      <c r="Q35" s="422">
        <f t="shared" si="9"/>
        <v>-1471909.2643437802</v>
      </c>
      <c r="R35" s="422">
        <f t="shared" si="9"/>
        <v>-1985493.15579064</v>
      </c>
      <c r="S35" s="422">
        <f t="shared" si="9"/>
        <v>-2582670.4808063554</v>
      </c>
      <c r="T35" s="422">
        <f t="shared" si="9"/>
        <v>-3254239.7021363042</v>
      </c>
      <c r="U35" s="422">
        <f t="shared" si="9"/>
        <v>-3984831.9771053363</v>
      </c>
      <c r="V35" s="11"/>
      <c r="W35" s="11"/>
      <c r="X35" s="11"/>
      <c r="Y35" s="11"/>
      <c r="Z35" s="11"/>
    </row>
    <row r="36" ht="15.75" customHeight="1">
      <c r="A36" s="11"/>
      <c r="B36" s="19"/>
      <c r="C36" s="47"/>
      <c r="D36" s="47"/>
      <c r="E36" s="47"/>
      <c r="F36" s="47"/>
      <c r="G36" s="44"/>
      <c r="H36" s="44"/>
      <c r="I36" s="44"/>
      <c r="J36" s="44"/>
      <c r="K36" s="44"/>
      <c r="L36" s="422"/>
      <c r="M36" s="422"/>
      <c r="N36" s="422"/>
      <c r="O36" s="422"/>
      <c r="P36" s="422"/>
      <c r="Q36" s="422"/>
      <c r="R36" s="422"/>
      <c r="S36" s="422"/>
      <c r="T36" s="422"/>
      <c r="U36" s="422"/>
      <c r="V36" s="11"/>
      <c r="W36" s="11"/>
      <c r="X36" s="11"/>
      <c r="Y36" s="11"/>
      <c r="Z36" s="11"/>
    </row>
    <row r="37" ht="15.75" customHeight="1">
      <c r="A37" s="11"/>
      <c r="B37" s="19"/>
      <c r="C37" s="19"/>
      <c r="D37" s="19"/>
      <c r="E37" s="19"/>
      <c r="F37" s="19"/>
      <c r="G37" s="414"/>
      <c r="H37" s="414"/>
      <c r="I37" s="414"/>
      <c r="J37" s="414"/>
      <c r="K37" s="414"/>
      <c r="L37" s="424"/>
      <c r="M37" s="424"/>
      <c r="N37" s="424"/>
      <c r="O37" s="424"/>
      <c r="P37" s="424"/>
      <c r="Q37" s="424"/>
      <c r="R37" s="424"/>
      <c r="S37" s="424"/>
      <c r="T37" s="424"/>
      <c r="U37" s="424"/>
      <c r="V37" s="11"/>
      <c r="W37" s="11"/>
      <c r="X37" s="11"/>
      <c r="Y37" s="11"/>
      <c r="Z37" s="11"/>
    </row>
    <row r="38" ht="15.75" customHeight="1">
      <c r="A38" s="11"/>
      <c r="B38" s="36" t="s">
        <v>332</v>
      </c>
      <c r="C38" s="19"/>
      <c r="D38" s="19"/>
      <c r="E38" s="19"/>
      <c r="F38" s="19"/>
      <c r="G38" s="414"/>
      <c r="H38" s="414"/>
      <c r="I38" s="414"/>
      <c r="J38" s="414"/>
      <c r="K38" s="414"/>
      <c r="L38" s="172" t="n">
        <f t="shared" ref="L38:T38" si="10">L28+$K$31+$K$32+$K$33+$K$34</f>
        <v>-34798.49859647127</v>
      </c>
      <c r="M38" s="172">
        <f t="shared" si="10"/>
        <v>-159608.28370938776</v>
      </c>
      <c r="N38" s="172">
        <f t="shared" si="10"/>
        <v>-366306.0338631398</v>
      </c>
      <c r="O38" s="172">
        <f t="shared" si="10"/>
        <v>-667236.70837593731</v>
      </c>
      <c r="P38" s="172">
        <f t="shared" si="10"/>
        <v>-1045194.7917870618</v>
      </c>
      <c r="Q38" s="172">
        <f t="shared" si="10"/>
        <v>-1491785.9568696572</v>
      </c>
      <c r="R38" s="172">
        <f t="shared" si="10"/>
        <v>-2006944.1237753723</v>
      </c>
      <c r="S38" s="172">
        <f t="shared" si="10"/>
        <v>-2604558.0958984848</v>
      </c>
      <c r="T38" s="172">
        <f t="shared" si="10"/>
        <v>-3276350.5766390366</v>
      </c>
      <c r="U38" s="172" t="n">
        <f>U28+$K$31+$K$32+$K$33+$K$34</f>
        <v>-4005861.6043863036</v>
      </c>
      <c r="V38" s="11"/>
      <c r="W38" s="11"/>
      <c r="X38" s="11"/>
      <c r="Y38" s="11"/>
      <c r="Z38" s="11"/>
    </row>
    <row r="39" ht="15.75" customHeight="1">
      <c r="A39" s="11"/>
      <c r="B39" s="19"/>
      <c r="C39" s="19" t="s">
        <v>333</v>
      </c>
      <c r="D39" s="19"/>
      <c r="E39" s="19"/>
      <c r="F39" s="19"/>
      <c r="G39" s="414"/>
      <c r="H39" s="414"/>
      <c r="I39" s="414"/>
      <c r="J39" s="414"/>
      <c r="K39" s="414"/>
      <c r="L39" s="172" t="n">
        <f t="shared" ref="L39:U39" si="11">L35-L38</f>
        <v>2599.9088752853277</v>
      </c>
      <c r="M39" s="172">
        <f t="shared" si="11"/>
        <v>6567.3826066192123</v>
      </c>
      <c r="N39" s="172">
        <f t="shared" si="11"/>
        <v>10743.6084155016</v>
      </c>
      <c r="O39" s="172">
        <f t="shared" si="11"/>
        <v>14415.607339062844</v>
      </c>
      <c r="P39" s="172">
        <f t="shared" si="11"/>
        <v>17469.061752318521</v>
      </c>
      <c r="Q39" s="172">
        <f t="shared" si="11"/>
        <v>19876.692525876919</v>
      </c>
      <c r="R39" s="172">
        <f t="shared" si="11"/>
        <v>21450.96798473224</v>
      </c>
      <c r="S39" s="172">
        <f t="shared" si="11"/>
        <v>21887.615092129447</v>
      </c>
      <c r="T39" s="172">
        <f t="shared" si="11"/>
        <v>22110.874502732418</v>
      </c>
      <c r="U39" s="172">
        <f t="shared" si="11"/>
        <v>21029.62728096731</v>
      </c>
      <c r="V39" s="11"/>
      <c r="W39" s="11"/>
      <c r="X39" s="11"/>
      <c r="Y39" s="11"/>
      <c r="Z39" s="11"/>
    </row>
    <row r="40" ht="15.75" customHeight="1">
      <c r="A40" s="11"/>
      <c r="B40" s="19"/>
      <c r="C40" s="19"/>
      <c r="D40" s="19"/>
      <c r="E40" s="19"/>
      <c r="F40" s="19"/>
      <c r="G40" s="19"/>
      <c r="H40" s="19"/>
      <c r="I40" s="19"/>
      <c r="J40" s="19"/>
      <c r="K40" s="19"/>
      <c r="L40" s="19"/>
      <c r="M40" s="19"/>
      <c r="N40" s="19"/>
      <c r="O40" s="19"/>
      <c r="P40" s="19"/>
      <c r="Q40" s="19"/>
      <c r="R40" s="19"/>
      <c r="S40" s="19"/>
      <c r="T40" s="19"/>
      <c r="U40" s="19"/>
      <c r="V40" s="11"/>
      <c r="W40" s="11"/>
      <c r="X40" s="11"/>
      <c r="Y40" s="11"/>
      <c r="Z40" s="11"/>
    </row>
    <row r="41" ht="15.75" customHeight="1">
      <c r="A41" s="11"/>
      <c r="B41" s="19"/>
      <c r="C41" s="19"/>
      <c r="D41" s="19"/>
      <c r="E41" s="19"/>
      <c r="F41" s="19"/>
      <c r="G41" s="19"/>
      <c r="H41" s="19"/>
      <c r="I41" s="19"/>
      <c r="J41" s="19"/>
      <c r="K41" s="19"/>
      <c r="L41" s="19"/>
      <c r="M41" s="19"/>
      <c r="N41" s="19"/>
      <c r="O41" s="19"/>
      <c r="P41" s="19"/>
      <c r="Q41" s="19"/>
      <c r="R41" s="19"/>
      <c r="S41" s="19"/>
      <c r="T41" s="19"/>
      <c r="U41" s="19"/>
      <c r="V41" s="11"/>
      <c r="W41" s="11"/>
      <c r="X41" s="11"/>
      <c r="Y41" s="11"/>
      <c r="Z41" s="11"/>
    </row>
    <row r="42"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ht="15.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ht="15.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ht="15.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ht="15.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ht="15.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ht="15.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ht="15.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ht="15.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ht="15.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ht="15.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ht="15.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ht="15.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ht="15.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sheetData>
  <mergeCells>
    <mergeCell ref="B35:F35"/>
    <mergeCell ref="B30:E30"/>
    <mergeCell ref="C31:F31"/>
    <mergeCell ref="C32:F32"/>
    <mergeCell ref="C33:F33"/>
    <mergeCell ref="C34:F34"/>
    <mergeCell ref="A1:Z3"/>
    <mergeCell ref="A4:G4"/>
    <mergeCell ref="H4:N4"/>
    <mergeCell ref="O4:Z4"/>
    <mergeCell ref="A5:Z5"/>
    <mergeCell ref="C7:D7"/>
    <mergeCell ref="E7:F7"/>
    <mergeCell ref="H7:J7"/>
    <mergeCell ref="K7:L7"/>
    <mergeCell ref="B10:F10"/>
    <mergeCell ref="C11:E11"/>
    <mergeCell ref="C12:E12"/>
    <mergeCell ref="C13:E13"/>
    <mergeCell ref="C14:E14"/>
    <mergeCell ref="B15:F15"/>
    <mergeCell ref="C16:F16"/>
    <mergeCell ref="B18:F18"/>
    <mergeCell ref="C19:F19"/>
    <mergeCell ref="C20:F20"/>
    <mergeCell ref="C21:F21"/>
    <mergeCell ref="C28:F28"/>
    <mergeCell ref="C22:F22"/>
    <mergeCell ref="C23:F23"/>
    <mergeCell ref="C24:E24"/>
    <mergeCell ref="C25:F25"/>
    <mergeCell ref="B26:F26"/>
  </mergeCells>
  <dataValidations count="2">
    <dataValidation type="list" allowBlank="1" showInputMessage="1" showErrorMessage="1" sqref="F9">
      <formula1>"Base,Best,Worst"</formula1>
      <formula2>0</formula2>
    </dataValidation>
    <dataValidation type="list" showInputMessage="1" showErrorMessage="1" sqref="K7:L8">
      <formula1>"Scenario assumption,Debt Schedule"</formula1>
      <formula2>0</formula2>
    </dataValidation>
  </dataValidations>
  <pageMargins left="0.7" right="0.7" top="0.75" bottom="0.75" header="0.3" footer="0.3"/>
  <drawing r:id="R62f0f4b1743142e5"/>
</worksheet>
</file>

<file path=xl/worksheets/sheet15.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5" width="10.83203125" style="11" customWidth="1"/>
    <col min="6" max="6" width="20.5" style="11" customWidth="1"/>
    <col min="7" max="7" width="10.83203125" style="11" customWidth="1"/>
    <col min="8" max="8" width="13.33203125" style="11" customWidth="1"/>
    <col min="9" max="17" width="10.83203125" style="11" customWidth="1"/>
    <col min="18" max="18" width="11.1640625" style="11" customWidth="1"/>
    <col min="19" max="19" width="12.1640625" style="11" customWidth="1"/>
    <col min="20" max="20" width="11.5" style="11" customWidth="1"/>
    <col min="21" max="21" width="12.6640625" style="11" customWidth="1"/>
    <col min="22" max="26" width="10.83203125" style="11" customWidth="1"/>
  </cols>
  <sheetData>
    <row r="1" ht="15.75" customHeight="1">
      <c r="A1" s="318" t="s">
        <v>334</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6.5" customHeight="1">
      <c r="Z6" s="37" t="s">
        <v>49</v>
      </c>
    </row>
    <row r="7" ht="16.5" customHeight="1">
      <c r="C7" s="341" t="s">
        <v>296</v>
      </c>
      <c r="D7" s="341"/>
      <c r="E7" s="342" t="str">
        <f>Forecasts!E8</f>
        <v>Base</v>
      </c>
      <c r="F7" s="342"/>
      <c r="N7" s="343" t="s">
        <v>283</v>
      </c>
      <c r="O7" s="343"/>
      <c r="P7" s="344" t="str">
        <f>Forecasts!P8</f>
        <v>Capex &amp; D&amp;A Schedule</v>
      </c>
      <c r="Q7" s="344"/>
      <c r="R7" s="1"/>
      <c r="S7" s="1"/>
      <c r="T7" s="1"/>
      <c r="U7" s="1"/>
      <c r="V7" s="1"/>
    </row>
    <row r="8">
      <c r="U8" s="285"/>
    </row>
    <row r="9" ht="15.75" customHeight="1">
      <c r="B9" s="346"/>
      <c r="C9" s="346"/>
      <c r="D9" s="346"/>
      <c r="E9" s="346"/>
      <c r="F9" s="346"/>
      <c r="G9" s="40" t="s">
        <v>44</v>
      </c>
      <c r="H9" s="40" t="s">
        <v>45</v>
      </c>
      <c r="I9" s="66" t="s">
        <v>46</v>
      </c>
      <c r="J9" s="66" t="s">
        <v>47</v>
      </c>
      <c r="K9" s="66" t="s">
        <v>48</v>
      </c>
      <c r="L9" s="95" t="s">
        <v>257</v>
      </c>
      <c r="M9" s="95" t="s">
        <v>258</v>
      </c>
      <c r="N9" s="95" t="s">
        <v>259</v>
      </c>
      <c r="O9" s="95" t="s">
        <v>260</v>
      </c>
      <c r="P9" s="95" t="s">
        <v>261</v>
      </c>
      <c r="Q9" s="95" t="s">
        <v>262</v>
      </c>
      <c r="R9" s="95" t="s">
        <v>263</v>
      </c>
      <c r="S9" s="95" t="s">
        <v>264</v>
      </c>
      <c r="T9" s="95" t="s">
        <v>265</v>
      </c>
      <c r="U9" s="95" t="s">
        <v>266</v>
      </c>
      <c r="V9" s="96"/>
    </row>
    <row r="10" ht="15.75" customHeight="1">
      <c r="B10" s="339" t="s">
        <v>335</v>
      </c>
      <c r="C10" s="339"/>
      <c r="D10" s="339"/>
      <c r="E10" s="339"/>
      <c r="F10" s="339"/>
      <c r="G10" s="44"/>
      <c r="H10" s="44"/>
      <c r="I10" s="44"/>
      <c r="J10" s="44"/>
      <c r="K10" s="44"/>
      <c r="L10" s="90"/>
      <c r="M10" s="90"/>
      <c r="N10" s="90"/>
      <c r="O10" s="90"/>
      <c r="P10" s="90"/>
      <c r="Q10" s="90"/>
      <c r="R10" s="90"/>
      <c r="S10" s="90"/>
      <c r="T10" s="90"/>
      <c r="U10" s="90"/>
    </row>
    <row r="11" ht="15.75" customHeight="1">
      <c r="B11" s="47"/>
      <c r="C11" s="340" t="s">
        <v>336</v>
      </c>
      <c r="D11" s="340"/>
      <c r="E11" s="340"/>
      <c r="F11" s="340"/>
      <c r="G11" s="44" t="n">
        <f>Forecasts!G15</f>
        <v>4270894</v>
      </c>
      <c r="H11" s="44" t="n">
        <f>Forecasts!H15</f>
        <v>5095254</v>
      </c>
      <c r="I11" s="44" t="n">
        <f>Forecasts!I15</f>
        <v>5970146</v>
      </c>
      <c r="J11" s="44" t="n">
        <f>Forecasts!J15</f>
        <v>6676668</v>
      </c>
      <c r="K11" s="44" t="n">
        <f>Forecasts!K15</f>
        <v>7145768</v>
      </c>
      <c r="L11" s="90" t="n">
        <f>Forecasts!L15</f>
        <v>7510797.995</v>
      </c>
      <c r="M11" s="90" t="n">
        <f>Forecasts!M15</f>
        <v>7954944.934324999</v>
      </c>
      <c r="N11" s="90" t="n">
        <f>Forecasts!N15</f>
        <v>8421809.644819373</v>
      </c>
      <c r="O11" s="90" t="n">
        <f>Forecasts!O15</f>
        <v>8876949.347282909</v>
      </c>
      <c r="P11" s="90" t="n">
        <f>Forecasts!P15</f>
        <v>9315395.4162032</v>
      </c>
      <c r="Q11" s="90" t="n">
        <f>Forecasts!Q15</f>
        <v>9736492.588520115</v>
      </c>
      <c r="R11" s="90" t="n">
        <f>Forecasts!R15</f>
        <v>10131738.468563562</v>
      </c>
      <c r="S11" s="90" t="n">
        <f>Forecasts!S15</f>
        <v>10486925.18659865</v>
      </c>
      <c r="T11" s="90" t="n">
        <f>Forecasts!T15</f>
        <v>10848302.779885262</v>
      </c>
      <c r="U11" s="90" t="n">
        <f>Forecasts!U15</f>
        <v>11163042.728499603</v>
      </c>
    </row>
    <row r="12" ht="15.75" customHeight="1">
      <c r="B12" s="47"/>
      <c r="C12" s="340" t="s">
        <v>123</v>
      </c>
      <c r="D12" s="340"/>
      <c r="E12" s="340"/>
      <c r="F12" s="340"/>
      <c r="G12" s="44" t="n">
        <f>-'Cash Flow Statement'!G31</f>
        <v>384827</v>
      </c>
      <c r="H12" s="44" t="n">
        <f>-'Cash Flow Statement'!H31</f>
        <v>456894</v>
      </c>
      <c r="I12" s="44" t="n">
        <f>-'Cash Flow Statement'!I31</f>
        <v>487148</v>
      </c>
      <c r="J12" s="44" t="n">
        <f>-'Cash Flow Statement'!J31</f>
        <v>506874</v>
      </c>
      <c r="K12" s="44" t="n">
        <f>-'Cash Flow Statement'!K31</f>
        <v>457976</v>
      </c>
      <c r="L12" s="90"/>
      <c r="M12" s="90"/>
      <c r="N12" s="90"/>
      <c r="O12" s="90"/>
      <c r="P12" s="90"/>
      <c r="Q12" s="90"/>
      <c r="R12" s="90"/>
      <c r="S12" s="90"/>
      <c r="T12" s="90"/>
      <c r="U12" s="90"/>
    </row>
    <row r="13" ht="15.75" customHeight="1">
      <c r="B13" s="47"/>
      <c r="C13" s="340" t="s">
        <v>124</v>
      </c>
      <c r="D13" s="340"/>
      <c r="E13" s="340"/>
      <c r="F13" s="340"/>
      <c r="G13" s="44" t="n">
        <f>-'Cash Flow Statement'!G32</f>
        <v>352316</v>
      </c>
      <c r="H13" s="44" t="n">
        <f>-'Cash Flow Statement'!H32</f>
        <v>347725</v>
      </c>
      <c r="I13" s="44" t="n">
        <f>-'Cash Flow Statement'!I32</f>
        <v>381762</v>
      </c>
      <c r="J13" s="44" t="n">
        <f>-'Cash Flow Statement'!J32</f>
        <v>482277</v>
      </c>
      <c r="K13" s="44" t="n">
        <f>-'Cash Flow Statement'!K32</f>
        <v>485210</v>
      </c>
      <c r="L13" s="90"/>
      <c r="M13" s="90"/>
      <c r="N13" s="90"/>
      <c r="O13" s="90"/>
      <c r="P13" s="90"/>
      <c r="Q13" s="90"/>
      <c r="R13" s="90"/>
      <c r="S13" s="90"/>
      <c r="T13" s="90"/>
      <c r="U13" s="90"/>
    </row>
    <row r="14" ht="15.75" customHeight="1">
      <c r="B14" s="339" t="s">
        <v>337</v>
      </c>
      <c r="C14" s="339"/>
      <c r="D14" s="339"/>
      <c r="E14" s="339"/>
      <c r="F14" s="339"/>
      <c r="G14" s="44" t="n">
        <f>G12+G13</f>
        <v>737143</v>
      </c>
      <c r="H14" s="44" t="n">
        <f>H12+H13</f>
        <v>804619</v>
      </c>
      <c r="I14" s="44" t="n">
        <f>I12+I13</f>
        <v>868910</v>
      </c>
      <c r="J14" s="44" t="n">
        <f>J12+J13</f>
        <v>989151</v>
      </c>
      <c r="K14" s="44" t="n">
        <f>K12+K13</f>
        <v>943186</v>
      </c>
      <c r="L14" s="90" t="n">
        <f t="shared" ref="L14:U14" si="0">L15*L11</f>
        <v>1051511.7193000002</v>
      </c>
      <c r="M14" s="90">
        <f t="shared" si="0"/>
        <v>1097782.4009368501</v>
      </c>
      <c r="N14" s="90">
        <f t="shared" si="0"/>
        <v>1145366.1116954349</v>
      </c>
      <c r="O14" s="90">
        <f t="shared" si="0"/>
        <v>1180634.2631886269</v>
      </c>
      <c r="P14" s="90">
        <f t="shared" si="0"/>
        <v>1220316.7995226195</v>
      </c>
      <c r="Q14" s="90">
        <f t="shared" si="0"/>
        <v>1256007.5439190948</v>
      </c>
      <c r="R14" s="90">
        <f t="shared" si="0"/>
        <v>1286730.7855075723</v>
      </c>
      <c r="S14" s="90">
        <f t="shared" si="0"/>
        <v>1300378.7231382325</v>
      </c>
      <c r="T14" s="90">
        <f t="shared" si="0"/>
        <v>1323492.9391460021</v>
      </c>
      <c r="U14" s="90">
        <f t="shared" si="0"/>
        <v>1339565.1274199523</v>
      </c>
    </row>
    <row r="15" ht="15.75" customHeight="1">
      <c r="B15" s="47"/>
      <c r="C15" s="340" t="s">
        <v>338</v>
      </c>
      <c r="D15" s="340"/>
      <c r="E15" s="340"/>
      <c r="F15" s="340"/>
      <c r="G15" s="93" t="n">
        <f>G14/G11</f>
        <v>0.1725968848676647</v>
      </c>
      <c r="H15" s="93" t="n">
        <f>H14/H11</f>
        <v>0.15791538557253476</v>
      </c>
      <c r="I15" s="93" t="n">
        <f>I14/I11</f>
        <v>0.14554250432066484</v>
      </c>
      <c r="J15" s="93" t="n">
        <f>J14/J11</f>
        <v>0.1481503947777544</v>
      </c>
      <c r="K15" s="93" t="n">
        <f>K14/K11</f>
        <v>0.13199225051806887</v>
      </c>
      <c r="L15" s="425">
        <v>0.14000000000000001</v>
      </c>
      <c r="M15" s="425">
        <v>0.13800000000000001</v>
      </c>
      <c r="N15" s="425">
        <v>0.13600000000000001</v>
      </c>
      <c r="O15" s="425">
        <v>0.13300000000000001</v>
      </c>
      <c r="P15" s="425">
        <v>0.13100000000000001</v>
      </c>
      <c r="Q15" s="425">
        <v>0.129</v>
      </c>
      <c r="R15" s="425">
        <v>0.127</v>
      </c>
      <c r="S15" s="425">
        <v>0.124</v>
      </c>
      <c r="T15" s="425">
        <v>0.122</v>
      </c>
      <c r="U15" s="425">
        <v>0.12</v>
      </c>
    </row>
    <row r="16" ht="15.75" customHeight="1">
      <c r="B16" s="47"/>
      <c r="C16" s="47"/>
      <c r="D16" s="47"/>
      <c r="E16" s="47"/>
      <c r="F16" s="47"/>
      <c r="G16" s="44"/>
      <c r="H16" s="44"/>
      <c r="I16" s="44"/>
      <c r="J16" s="44"/>
      <c r="K16" s="44"/>
      <c r="L16" s="90"/>
      <c r="M16" s="90"/>
      <c r="N16" s="90"/>
      <c r="O16" s="90"/>
      <c r="P16" s="90"/>
      <c r="Q16" s="90"/>
      <c r="R16" s="90"/>
      <c r="S16" s="90"/>
      <c r="T16" s="90"/>
      <c r="U16" s="90"/>
    </row>
    <row r="17" ht="15.75" customHeight="1">
      <c r="B17" s="339" t="s">
        <v>339</v>
      </c>
      <c r="C17" s="339"/>
      <c r="D17" s="339"/>
      <c r="E17" s="339"/>
      <c r="F17" s="339"/>
      <c r="G17" s="44"/>
      <c r="H17" s="44"/>
      <c r="I17" s="44"/>
      <c r="J17" s="44"/>
      <c r="K17" s="44"/>
      <c r="L17" s="426"/>
      <c r="M17" s="426"/>
      <c r="N17" s="426"/>
      <c r="O17" s="426"/>
      <c r="P17" s="426"/>
      <c r="Q17" s="426"/>
      <c r="R17" s="426"/>
      <c r="S17" s="426"/>
      <c r="T17" s="426"/>
      <c r="U17" s="426"/>
    </row>
    <row r="18" ht="15.75" customHeight="1">
      <c r="B18" s="47"/>
      <c r="C18" s="340" t="s">
        <v>170</v>
      </c>
      <c r="D18" s="340"/>
      <c r="E18" s="340"/>
      <c r="F18" s="340"/>
      <c r="G18" s="44" t="n">
        <f>'Revenue Recognition'!G42</f>
        <v>194472</v>
      </c>
      <c r="H18" s="44" t="n">
        <f>'Revenue Recognition'!H42</f>
        <v>257730</v>
      </c>
      <c r="I18" s="44" t="n">
        <f>'Revenue Recognition'!I42</f>
        <v>342656</v>
      </c>
      <c r="J18" s="44" t="n">
        <f>'Revenue Recognition'!J42</f>
        <v>330781</v>
      </c>
      <c r="K18" s="44" t="n">
        <f>'Revenue Recognition'!K42</f>
        <v>326171</v>
      </c>
      <c r="L18" s="426" t="n">
        <f t="shared" ref="L18:U18" si="1">L19*L11</f>
        <v>345496.70777</v>
      </c>
      <c r="M18" s="426">
        <f t="shared" si="1"/>
        <v>365927.46697894996</v>
      </c>
      <c r="N18" s="426">
        <f t="shared" si="1"/>
        <v>387403.24366169114</v>
      </c>
      <c r="O18" s="426">
        <f t="shared" si="1"/>
        <v>408339.66997501382</v>
      </c>
      <c r="P18" s="426">
        <f t="shared" si="1"/>
        <v>428508.18914534722</v>
      </c>
      <c r="Q18" s="426">
        <f t="shared" si="1"/>
        <v>447878.65907192527</v>
      </c>
      <c r="R18" s="426">
        <f t="shared" si="1"/>
        <v>466059.96955392387</v>
      </c>
      <c r="S18" s="426">
        <f t="shared" si="1"/>
        <v>482398.55858353787</v>
      </c>
      <c r="T18" s="426">
        <f t="shared" si="1"/>
        <v>499021.92787472205</v>
      </c>
      <c r="U18" s="426">
        <f t="shared" si="1"/>
        <v>513499.96551098168</v>
      </c>
    </row>
    <row r="19" ht="15.75" customHeight="1">
      <c r="B19" s="47"/>
      <c r="C19" s="340" t="s">
        <v>340</v>
      </c>
      <c r="D19" s="340"/>
      <c r="E19" s="340"/>
      <c r="F19" s="340"/>
      <c r="G19" s="93" t="n">
        <f>G18/G11</f>
        <v>0.045534260508455604</v>
      </c>
      <c r="H19" s="93" t="n">
        <f>H18/H11</f>
        <v>0.05058236547186853</v>
      </c>
      <c r="I19" s="93" t="n">
        <f>I18/I11</f>
        <v>0.05739491128022665</v>
      </c>
      <c r="J19" s="93" t="n">
        <f>J18/J11</f>
        <v>0.04954282585265585</v>
      </c>
      <c r="K19" s="93" t="n">
        <f>K18/K11</f>
        <v>0.045645338611609</v>
      </c>
      <c r="L19" s="425">
        <v>4.5999999999999999E-2</v>
      </c>
      <c r="M19" s="425">
        <v>4.5999999999999999E-2</v>
      </c>
      <c r="N19" s="425">
        <v>4.5999999999999999E-2</v>
      </c>
      <c r="O19" s="425">
        <v>4.5999999999999999E-2</v>
      </c>
      <c r="P19" s="425">
        <v>4.5999999999999999E-2</v>
      </c>
      <c r="Q19" s="425">
        <v>4.5999999999999999E-2</v>
      </c>
      <c r="R19" s="425">
        <v>4.5999999999999999E-2</v>
      </c>
      <c r="S19" s="425">
        <v>4.5999999999999999E-2</v>
      </c>
      <c r="T19" s="425">
        <v>4.5999999999999999E-2</v>
      </c>
      <c r="U19" s="425">
        <v>4.5999999999999999E-2</v>
      </c>
    </row>
    <row r="20" ht="15.75" customHeight="1">
      <c r="B20" s="47"/>
      <c r="C20" s="340" t="s">
        <v>289</v>
      </c>
      <c r="D20" s="340"/>
      <c r="E20" s="340"/>
      <c r="F20" s="340"/>
      <c r="G20" s="44" t="n">
        <f>'Historical Income Statement'!G16-'Revenue Recognition'!G42</f>
        <v>261517</v>
      </c>
      <c r="H20" s="44" t="n">
        <f>'Historical Income Statement'!H16-'Revenue Recognition'!H42</f>
        <v>288495</v>
      </c>
      <c r="I20" s="44" t="n">
        <f>'Historical Income Statement'!I16-'Revenue Recognition'!I42</f>
        <v>319649</v>
      </c>
      <c r="J20" s="44" t="n">
        <f>'Historical Income Statement'!J16-'Revenue Recognition'!J42</f>
        <v>335996</v>
      </c>
      <c r="K20" s="44" t="n">
        <f>'Historical Income Statement'!K16-'Revenue Recognition'!K42</f>
        <v>335766</v>
      </c>
      <c r="L20" s="426" t="n">
        <f t="shared" ref="L20:U20" si="2">L21*L11</f>
        <v>353007.505765</v>
      </c>
      <c r="M20" s="426">
        <f t="shared" si="2"/>
        <v>381837.35684759996</v>
      </c>
      <c r="N20" s="426">
        <f t="shared" si="2"/>
        <v>412668.67259614932</v>
      </c>
      <c r="O20" s="426">
        <f t="shared" si="2"/>
        <v>452724.41671142832</v>
      </c>
      <c r="P20" s="426">
        <f t="shared" si="2"/>
        <v>484400.5616425664</v>
      </c>
      <c r="Q20" s="426">
        <f t="shared" si="2"/>
        <v>516034.10719156609</v>
      </c>
      <c r="R20" s="426">
        <f t="shared" si="2"/>
        <v>547113.87730243232</v>
      </c>
      <c r="S20" s="426">
        <f t="shared" si="2"/>
        <v>587267.81044952432</v>
      </c>
      <c r="T20" s="426">
        <f t="shared" si="2"/>
        <v>618353.25845345994</v>
      </c>
      <c r="U20" s="426">
        <f t="shared" si="2"/>
        <v>647456.47825297702</v>
      </c>
    </row>
    <row r="21" ht="15.75" customHeight="1">
      <c r="B21" s="47"/>
      <c r="C21" s="340" t="s">
        <v>340</v>
      </c>
      <c r="D21" s="340"/>
      <c r="E21" s="340"/>
      <c r="F21" s="340"/>
      <c r="G21" s="93" t="n">
        <f>G20/G11</f>
        <v>0.061232378982011726</v>
      </c>
      <c r="H21" s="93" t="n">
        <f>H20/H11</f>
        <v>0.05662033727857335</v>
      </c>
      <c r="I21" s="93" t="n">
        <f>I20/I11</f>
        <v>0.05354123667997399</v>
      </c>
      <c r="J21" s="93" t="n">
        <f>J20/J11</f>
        <v>0.050323904079100534</v>
      </c>
      <c r="K21" s="93" t="n">
        <f>K20/K11</f>
        <v>0.046988091412987376</v>
      </c>
      <c r="L21" s="425">
        <v>4.7E-2</v>
      </c>
      <c r="M21" s="425">
        <v>4.8000000000000001E-2</v>
      </c>
      <c r="N21" s="425">
        <v>4.9000000000000002E-2</v>
      </c>
      <c r="O21" s="425">
        <v>5.0999999999999997E-2</v>
      </c>
      <c r="P21" s="425">
        <v>5.1999999999999998E-2</v>
      </c>
      <c r="Q21" s="425">
        <v>5.2999999999999999E-2</v>
      </c>
      <c r="R21" s="425">
        <v>5.3999999999999999E-2</v>
      </c>
      <c r="S21" s="425">
        <v>5.6000000000000001E-2</v>
      </c>
      <c r="T21" s="425">
        <v>5.7000000000000002E-2</v>
      </c>
      <c r="U21" s="425">
        <v>5.8000000000000003E-2</v>
      </c>
    </row>
    <row r="22" ht="15.75" customHeight="1">
      <c r="B22" s="339" t="s">
        <v>341</v>
      </c>
      <c r="C22" s="339"/>
      <c r="D22" s="339"/>
      <c r="E22" s="339"/>
      <c r="F22" s="339"/>
      <c r="G22" s="44" t="n">
        <f t="shared" ref="G22:U22" si="3">G18+G20</f>
        <v>455989</v>
      </c>
      <c r="H22" s="44">
        <f t="shared" si="3"/>
        <v>546225</v>
      </c>
      <c r="I22" s="44">
        <f t="shared" si="3"/>
        <v>662305</v>
      </c>
      <c r="J22" s="44">
        <f t="shared" si="3"/>
        <v>666777</v>
      </c>
      <c r="K22" s="44">
        <f t="shared" si="3"/>
        <v>661937</v>
      </c>
      <c r="L22" s="426">
        <f t="shared" si="3"/>
        <v>698504.21353499999</v>
      </c>
      <c r="M22" s="426">
        <f t="shared" si="3"/>
        <v>747764.82382654992</v>
      </c>
      <c r="N22" s="426">
        <f t="shared" si="3"/>
        <v>800071.91625784046</v>
      </c>
      <c r="O22" s="426">
        <f t="shared" si="3"/>
        <v>861064.08668644214</v>
      </c>
      <c r="P22" s="426">
        <f t="shared" si="3"/>
        <v>912908.75078791357</v>
      </c>
      <c r="Q22" s="426">
        <f t="shared" si="3"/>
        <v>963912.76626349136</v>
      </c>
      <c r="R22" s="426">
        <f t="shared" si="3"/>
        <v>1013173.8468563561</v>
      </c>
      <c r="S22" s="426">
        <f t="shared" si="3"/>
        <v>1069666.3690330621</v>
      </c>
      <c r="T22" s="426">
        <f t="shared" si="3"/>
        <v>1117375.186328182</v>
      </c>
      <c r="U22" s="426">
        <f t="shared" si="3"/>
        <v>1160956.4437639588</v>
      </c>
    </row>
    <row r="23" ht="15.75" customHeight="1">
      <c r="B23" s="47"/>
      <c r="C23" s="340"/>
      <c r="D23" s="340"/>
      <c r="E23" s="340"/>
      <c r="F23" s="340"/>
      <c r="G23" s="44"/>
      <c r="H23" s="44"/>
      <c r="I23" s="44"/>
      <c r="J23" s="44"/>
      <c r="K23" s="44"/>
      <c r="L23" s="90"/>
      <c r="M23" s="90"/>
      <c r="N23" s="90"/>
      <c r="O23" s="90"/>
      <c r="P23" s="90"/>
      <c r="Q23" s="90"/>
      <c r="R23" s="90"/>
      <c r="S23" s="90"/>
      <c r="T23" s="90"/>
      <c r="U23" s="90"/>
    </row>
    <row r="24" ht="15.75" customHeight="1">
      <c r="B24" s="47"/>
      <c r="C24" s="47"/>
      <c r="D24" s="47"/>
      <c r="E24" s="47"/>
      <c r="F24" s="47"/>
      <c r="G24" s="44"/>
      <c r="H24" s="44"/>
      <c r="I24" s="44"/>
      <c r="J24" s="44"/>
      <c r="K24" s="44"/>
      <c r="L24" s="90"/>
      <c r="M24" s="90"/>
      <c r="N24" s="90"/>
      <c r="O24" s="90"/>
      <c r="P24" s="90"/>
      <c r="Q24" s="90"/>
      <c r="R24" s="90"/>
      <c r="S24" s="90"/>
      <c r="T24" s="90"/>
      <c r="U24" s="90"/>
    </row>
    <row r="25" ht="15.75" customHeight="1">
      <c r="B25" s="339" t="s">
        <v>342</v>
      </c>
      <c r="C25" s="339"/>
      <c r="D25" s="339"/>
      <c r="E25" s="339"/>
      <c r="F25" s="339"/>
      <c r="G25" s="44"/>
      <c r="H25" s="44"/>
      <c r="I25" s="44"/>
      <c r="J25" s="44"/>
      <c r="K25" s="44"/>
      <c r="L25" s="90"/>
      <c r="M25" s="90"/>
      <c r="N25" s="90"/>
      <c r="O25" s="90"/>
      <c r="P25" s="90"/>
      <c r="Q25" s="90"/>
      <c r="R25" s="90"/>
      <c r="S25" s="90"/>
      <c r="T25" s="90"/>
      <c r="U25" s="90"/>
    </row>
    <row r="26" ht="15.75" customHeight="1">
      <c r="B26" s="47"/>
      <c r="C26" s="340" t="s">
        <v>343</v>
      </c>
      <c r="D26" s="340"/>
      <c r="E26" s="340"/>
      <c r="F26" s="340"/>
      <c r="G26" s="44" t="n">
        <f t="shared" ref="G26:U26" si="4">G14-G22</f>
        <v>281154</v>
      </c>
      <c r="H26" s="44">
        <f t="shared" si="4"/>
        <v>258394</v>
      </c>
      <c r="I26" s="44">
        <f t="shared" si="4"/>
        <v>206605</v>
      </c>
      <c r="J26" s="44">
        <f t="shared" si="4"/>
        <v>322374</v>
      </c>
      <c r="K26" s="44">
        <f t="shared" si="4"/>
        <v>281249</v>
      </c>
      <c r="L26" s="90">
        <f t="shared" si="4"/>
        <v>353007.50576500024</v>
      </c>
      <c r="M26" s="90">
        <f t="shared" si="4"/>
        <v>350017.57711030019</v>
      </c>
      <c r="N26" s="90">
        <f t="shared" si="4"/>
        <v>345294.19543759443</v>
      </c>
      <c r="O26" s="90">
        <f t="shared" si="4"/>
        <v>319570.17650218471</v>
      </c>
      <c r="P26" s="90">
        <f t="shared" si="4"/>
        <v>307408.0487347059</v>
      </c>
      <c r="Q26" s="90">
        <f t="shared" si="4"/>
        <v>292094.77765560348</v>
      </c>
      <c r="R26" s="90">
        <f t="shared" si="4"/>
        <v>273556.93865121622</v>
      </c>
      <c r="S26" s="90">
        <f t="shared" si="4"/>
        <v>230712.35410517035</v>
      </c>
      <c r="T26" s="90">
        <f t="shared" si="4"/>
        <v>206117.75281782006</v>
      </c>
      <c r="U26" s="90">
        <f t="shared" si="4"/>
        <v>178608.68365599355</v>
      </c>
    </row>
    <row r="27" ht="15.75" customHeight="1"/>
    <row r="28" ht="15.75" customHeight="1"/>
    <row r="29" ht="15.75" customHeight="1"/>
    <row r="31" ht="15.75" customHeight="1"/>
    <row r="32" ht="15.75" customHeight="1"/>
    <row r="33" ht="15.75" customHeight="1"/>
    <row r="34" ht="15.75" customHeight="1"/>
    <row r="35" ht="15.75" customHeight="1"/>
    <row r="36" ht="15.75" customHeight="1"/>
    <row r="37" ht="15.75" customHeight="1"/>
    <row r="39" ht="15.75" customHeight="1"/>
    <row r="40" ht="15.75" customHeight="1"/>
    <row r="41" ht="15.75" customHeight="1"/>
    <row r="42" ht="15.75" customHeight="1"/>
    <row r="43" ht="15.75" customHeight="1"/>
    <row r="44" ht="15.75" customHeight="1"/>
    <row r="46" ht="15.75" customHeight="1"/>
    <row r="47" ht="15.75" customHeight="1"/>
    <row r="48" ht="15.75" customHeight="1"/>
  </sheetData>
  <mergeCells>
    <mergeCell ref="A1:Z3"/>
    <mergeCell ref="A4:G4"/>
    <mergeCell ref="H4:N4"/>
    <mergeCell ref="O4:Z4"/>
    <mergeCell ref="A5:Z5"/>
    <mergeCell ref="C7:D7"/>
    <mergeCell ref="E7:F7"/>
    <mergeCell ref="N7:O7"/>
    <mergeCell ref="P7:Q7"/>
    <mergeCell ref="B9:F9"/>
    <mergeCell ref="B10:F10"/>
    <mergeCell ref="C11:F11"/>
    <mergeCell ref="C12:F12"/>
    <mergeCell ref="C13:F13"/>
    <mergeCell ref="B14:F14"/>
    <mergeCell ref="C15:F15"/>
    <mergeCell ref="B17:F17"/>
    <mergeCell ref="C18:F18"/>
    <mergeCell ref="C19:F19"/>
    <mergeCell ref="C20:F20"/>
    <mergeCell ref="C21:F21"/>
    <mergeCell ref="B22:F22"/>
    <mergeCell ref="C23:F23"/>
    <mergeCell ref="B25:F25"/>
    <mergeCell ref="C26:F26"/>
  </mergeCells>
  <pageMargins left="0.7" right="0.7" top="0.75" bottom="0.75" header="0.3" footer="0.3"/>
  <drawing r:id="R4478ddb61bdd4fd8"/>
</worksheet>
</file>

<file path=xl/worksheets/sheet16.xml><?xml version="1.0" encoding="utf-8"?>
<worksheet xmlns="http://schemas.openxmlformats.org/spreadsheetml/2006/main" xmlns:r="http://schemas.openxmlformats.org/officeDocument/2006/relationships">
  <sheetViews>
    <sheetView showGridLines="0" workbookViewId="0"/>
  </sheetViews>
  <sheetFormatPr baseColWidth="10" defaultColWidth="11.1640625" defaultRowHeight="16"/>
  <cols>
    <col min="1" max="1" width="10.83203125" style="11" customWidth="1"/>
    <col min="2" max="2" width="1.83203125" style="11" customWidth="1"/>
    <col min="3" max="11" width="10.83203125" style="11" customWidth="1"/>
    <col min="12" max="21" width="12.6640625" style="11" customWidth="1"/>
    <col min="22" max="26" width="10.83203125" style="11" customWidth="1"/>
  </cols>
  <sheetData>
    <row r="1" ht="15.75" customHeight="1">
      <c r="A1" s="318" t="s">
        <v>344</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8" ht="15.75" customHeight="1">
      <c r="B8" s="294"/>
      <c r="C8" s="294"/>
      <c r="D8" s="294"/>
      <c r="E8" s="294"/>
      <c r="F8" s="294"/>
      <c r="G8" s="96"/>
      <c r="H8" s="96"/>
      <c r="I8" s="96"/>
      <c r="J8" s="96"/>
      <c r="K8" s="96"/>
      <c r="L8" s="95" t="s">
        <v>257</v>
      </c>
      <c r="M8" s="95" t="s">
        <v>258</v>
      </c>
      <c r="N8" s="95" t="s">
        <v>259</v>
      </c>
      <c r="O8" s="95" t="s">
        <v>260</v>
      </c>
      <c r="P8" s="95" t="s">
        <v>261</v>
      </c>
      <c r="Q8" s="95" t="s">
        <v>262</v>
      </c>
      <c r="R8" s="95" t="s">
        <v>263</v>
      </c>
      <c r="S8" s="95" t="s">
        <v>264</v>
      </c>
      <c r="T8" s="95" t="s">
        <v>265</v>
      </c>
      <c r="U8" s="95" t="s">
        <v>266</v>
      </c>
      <c r="V8" s="96"/>
    </row>
    <row r="9" ht="15.75" customHeight="1">
      <c r="B9" s="347" t="s">
        <v>345</v>
      </c>
      <c r="C9" s="347"/>
      <c r="D9" s="347"/>
      <c r="E9" s="347"/>
      <c r="F9" s="347"/>
      <c r="G9" s="19"/>
      <c r="H9" s="19"/>
      <c r="I9" s="19"/>
      <c r="J9" s="19"/>
      <c r="K9" s="19"/>
      <c r="L9" s="97"/>
      <c r="M9" s="97"/>
      <c r="N9" s="97"/>
      <c r="O9" s="97"/>
      <c r="P9" s="97"/>
      <c r="Q9" s="97"/>
      <c r="R9" s="97"/>
      <c r="S9" s="97"/>
      <c r="T9" s="97"/>
      <c r="U9" s="97"/>
    </row>
    <row r="10" ht="15.75" customHeight="1">
      <c r="B10" s="19"/>
      <c r="C10" s="346" t="s">
        <v>346</v>
      </c>
      <c r="D10" s="346"/>
      <c r="E10" s="346"/>
      <c r="F10" s="346"/>
      <c r="G10" s="19"/>
      <c r="H10" s="19"/>
      <c r="I10" s="19"/>
      <c r="J10" s="19"/>
      <c r="K10" s="19"/>
      <c r="L10" s="428">
        <v>700000</v>
      </c>
      <c r="M10" s="428">
        <v>700000</v>
      </c>
      <c r="N10" s="428">
        <v>700000</v>
      </c>
      <c r="O10" s="428">
        <v>700000</v>
      </c>
      <c r="P10" s="428">
        <v>700000</v>
      </c>
      <c r="Q10" s="428">
        <v>700000</v>
      </c>
      <c r="R10" s="428">
        <v>700000</v>
      </c>
      <c r="S10" s="428">
        <v>700000</v>
      </c>
      <c r="T10" s="428">
        <v>700000</v>
      </c>
      <c r="U10" s="428">
        <v>700000</v>
      </c>
    </row>
    <row r="11" ht="15.75" customHeight="1">
      <c r="B11" s="19"/>
      <c r="C11" s="346" t="s">
        <v>347</v>
      </c>
      <c r="D11" s="346"/>
      <c r="E11" s="346"/>
      <c r="F11" s="346"/>
      <c r="G11" s="19"/>
      <c r="H11" s="19"/>
      <c r="I11" s="19"/>
      <c r="J11" s="19"/>
      <c r="K11" s="19"/>
      <c r="L11" s="428" t="n">
        <f>L10</f>
        <v>700000</v>
      </c>
      <c r="M11" s="428" t="n">
        <f t="shared" ref="M11:U11" si="0">L11+M10</f>
        <v>1400000</v>
      </c>
      <c r="N11" s="428">
        <f t="shared" si="0"/>
        <v>2100000</v>
      </c>
      <c r="O11" s="428">
        <f t="shared" si="0"/>
        <v>2800000</v>
      </c>
      <c r="P11" s="428">
        <f t="shared" si="0"/>
        <v>3500000</v>
      </c>
      <c r="Q11" s="428">
        <f t="shared" si="0"/>
        <v>4200000</v>
      </c>
      <c r="R11" s="428">
        <f t="shared" si="0"/>
        <v>4900000</v>
      </c>
      <c r="S11" s="428">
        <f t="shared" si="0"/>
        <v>5600000</v>
      </c>
      <c r="T11" s="428">
        <f t="shared" si="0"/>
        <v>6300000</v>
      </c>
      <c r="U11" s="428">
        <f t="shared" si="0"/>
        <v>7000000</v>
      </c>
    </row>
    <row r="12" ht="15.75" customHeight="1">
      <c r="B12" s="19"/>
      <c r="C12" s="346" t="s">
        <v>348</v>
      </c>
      <c r="D12" s="346"/>
      <c r="E12" s="346"/>
      <c r="F12" s="346"/>
      <c r="G12" s="19"/>
      <c r="H12" s="19"/>
      <c r="I12" s="19"/>
      <c r="J12" s="19"/>
      <c r="K12" s="19"/>
      <c r="L12" s="427">
        <v>310</v>
      </c>
      <c r="M12" s="429" t="n">
        <f t="shared" ref="M12:U12" si="1">L12*1.05</f>
        <v>325.5</v>
      </c>
      <c r="N12" s="429">
        <f t="shared" si="1"/>
        <v>341.77500000000003</v>
      </c>
      <c r="O12" s="429">
        <f t="shared" si="1"/>
        <v>358.86375000000004</v>
      </c>
      <c r="P12" s="429">
        <f t="shared" si="1"/>
        <v>376.80693750000006</v>
      </c>
      <c r="Q12" s="429">
        <f t="shared" si="1"/>
        <v>395.64728437500008</v>
      </c>
      <c r="R12" s="429">
        <f t="shared" si="1"/>
        <v>415.42964859375013</v>
      </c>
      <c r="S12" s="429">
        <f t="shared" si="1"/>
        <v>436.20113102343765</v>
      </c>
      <c r="T12" s="429">
        <f t="shared" si="1"/>
        <v>458.01118757460955</v>
      </c>
      <c r="U12" s="429">
        <f t="shared" si="1"/>
        <v>480.91174695334007</v>
      </c>
    </row>
    <row r="13" ht="15.75" customHeight="1">
      <c r="B13" s="19"/>
      <c r="C13" s="346" t="s">
        <v>349</v>
      </c>
      <c r="D13" s="346"/>
      <c r="E13" s="346"/>
      <c r="F13" s="346"/>
      <c r="G13" s="19"/>
      <c r="H13" s="19"/>
      <c r="I13" s="19"/>
      <c r="J13" s="19"/>
      <c r="K13" s="19"/>
      <c r="L13" s="428" t="n">
        <f t="shared" ref="L13:U13" si="2">L10*1000/L12</f>
        <v>2258064.5161290322</v>
      </c>
      <c r="M13" s="428">
        <f t="shared" si="2"/>
        <v>2150537.634408602</v>
      </c>
      <c r="N13" s="428">
        <f t="shared" si="2"/>
        <v>2048131.0803891446</v>
      </c>
      <c r="O13" s="428">
        <f t="shared" si="2"/>
        <v>1950601.0289420425</v>
      </c>
      <c r="P13" s="428">
        <f t="shared" si="2"/>
        <v>1857715.265659088</v>
      </c>
      <c r="Q13" s="428">
        <f t="shared" si="2"/>
        <v>1769252.6339610361</v>
      </c>
      <c r="R13" s="428">
        <f t="shared" si="2"/>
        <v>1685002.5085343199</v>
      </c>
      <c r="S13" s="428">
        <f t="shared" si="2"/>
        <v>1604764.2938422095</v>
      </c>
      <c r="T13" s="428">
        <f t="shared" si="2"/>
        <v>1528346.94651639</v>
      </c>
      <c r="U13" s="428">
        <f t="shared" si="2"/>
        <v>1455568.5204917998</v>
      </c>
    </row>
    <row r="14" ht="15.75" customHeight="1">
      <c r="B14" s="19"/>
      <c r="C14" s="19"/>
      <c r="D14" s="19"/>
      <c r="E14" s="19"/>
      <c r="F14" s="19"/>
      <c r="G14" s="19"/>
      <c r="H14" s="19"/>
      <c r="I14" s="19"/>
      <c r="J14" s="19"/>
      <c r="K14" s="19"/>
      <c r="L14" s="97"/>
      <c r="M14" s="97"/>
      <c r="N14" s="97"/>
      <c r="O14" s="97"/>
      <c r="P14" s="97"/>
      <c r="Q14" s="97"/>
      <c r="R14" s="97"/>
      <c r="S14" s="97"/>
      <c r="T14" s="97"/>
      <c r="U14" s="97"/>
    </row>
    <row r="15" ht="15.75" customHeight="1">
      <c r="B15" s="347" t="s">
        <v>350</v>
      </c>
      <c r="C15" s="347"/>
      <c r="D15" s="347"/>
      <c r="E15" s="347"/>
      <c r="F15" s="347"/>
      <c r="G15" s="19"/>
      <c r="H15" s="19"/>
      <c r="I15" s="19"/>
      <c r="J15" s="19"/>
      <c r="K15" s="19"/>
      <c r="L15" s="97"/>
      <c r="M15" s="97"/>
      <c r="N15" s="97"/>
      <c r="O15" s="97"/>
      <c r="P15" s="97"/>
      <c r="Q15" s="97"/>
      <c r="R15" s="97"/>
      <c r="S15" s="97"/>
      <c r="T15" s="97"/>
      <c r="U15" s="97"/>
    </row>
    <row r="16" ht="15.75" customHeight="1">
      <c r="B16" s="19"/>
      <c r="C16" s="19" t="s">
        <v>351</v>
      </c>
      <c r="D16" s="19"/>
      <c r="E16" s="19"/>
      <c r="F16" s="19"/>
      <c r="G16" s="19"/>
      <c r="H16" s="19"/>
      <c r="I16" s="19"/>
      <c r="J16" s="19"/>
      <c r="K16" s="19"/>
      <c r="L16" s="86">
        <v>177278893</v>
      </c>
      <c r="M16" s="86" t="n">
        <f t="shared" ref="M16:U16" si="3">L18</f>
        <v>175020828.48387095</v>
      </c>
      <c r="N16" s="86">
        <f t="shared" si="3"/>
        <v>172870290.84946236</v>
      </c>
      <c r="O16" s="86">
        <f t="shared" si="3"/>
        <v>170822159.76907322</v>
      </c>
      <c r="P16" s="86">
        <f t="shared" si="3"/>
        <v>168871558.74013117</v>
      </c>
      <c r="Q16" s="86">
        <f t="shared" si="3"/>
        <v>167013843.47447208</v>
      </c>
      <c r="R16" s="86">
        <f t="shared" si="3"/>
        <v>165244590.84051105</v>
      </c>
      <c r="S16" s="86">
        <f t="shared" si="3"/>
        <v>163559588.33197674</v>
      </c>
      <c r="T16" s="86">
        <f t="shared" si="3"/>
        <v>161954824.03813455</v>
      </c>
      <c r="U16" s="86">
        <f t="shared" si="3"/>
        <v>160426477.09161815</v>
      </c>
    </row>
    <row r="17" ht="15.75" customHeight="1">
      <c r="B17" s="19"/>
      <c r="C17" s="19" t="s">
        <v>352</v>
      </c>
      <c r="D17" s="19"/>
      <c r="E17" s="19"/>
      <c r="F17" s="19"/>
      <c r="G17" s="19"/>
      <c r="H17" s="19"/>
      <c r="I17" s="19"/>
      <c r="J17" s="19"/>
      <c r="K17" s="19"/>
      <c r="L17" s="86" t="n">
        <f t="shared" ref="L17:U17" si="4">-L13</f>
        <v>-2258064.5161290322</v>
      </c>
      <c r="M17" s="86">
        <f t="shared" si="4"/>
        <v>-2150537.634408602</v>
      </c>
      <c r="N17" s="86">
        <f t="shared" si="4"/>
        <v>-2048131.0803891446</v>
      </c>
      <c r="O17" s="86">
        <f t="shared" si="4"/>
        <v>-1950601.0289420425</v>
      </c>
      <c r="P17" s="86">
        <f t="shared" si="4"/>
        <v>-1857715.265659088</v>
      </c>
      <c r="Q17" s="86">
        <f t="shared" si="4"/>
        <v>-1769252.6339610361</v>
      </c>
      <c r="R17" s="86">
        <f t="shared" si="4"/>
        <v>-1685002.5085343199</v>
      </c>
      <c r="S17" s="86">
        <f t="shared" si="4"/>
        <v>-1604764.2938422095</v>
      </c>
      <c r="T17" s="86">
        <f t="shared" si="4"/>
        <v>-1528346.94651639</v>
      </c>
      <c r="U17" s="86">
        <f t="shared" si="4"/>
        <v>-1455568.5204917998</v>
      </c>
    </row>
    <row r="18" ht="15.75" customHeight="1">
      <c r="B18" s="19"/>
      <c r="C18" s="36" t="s">
        <v>353</v>
      </c>
      <c r="D18" s="19"/>
      <c r="E18" s="19"/>
      <c r="F18" s="19"/>
      <c r="G18" s="19"/>
      <c r="H18" s="19"/>
      <c r="I18" s="19"/>
      <c r="J18" s="19"/>
      <c r="K18" s="19"/>
      <c r="L18" s="80" t="n">
        <f t="shared" ref="L18:U18" si="5">L16+L17</f>
        <v>175020828.48387095</v>
      </c>
      <c r="M18" s="80">
        <f t="shared" si="5"/>
        <v>172870290.84946236</v>
      </c>
      <c r="N18" s="80">
        <f t="shared" si="5"/>
        <v>170822159.76907322</v>
      </c>
      <c r="O18" s="80">
        <f t="shared" si="5"/>
        <v>168871558.74013117</v>
      </c>
      <c r="P18" s="80">
        <f t="shared" si="5"/>
        <v>167013843.47447208</v>
      </c>
      <c r="Q18" s="80">
        <f t="shared" si="5"/>
        <v>165244590.84051105</v>
      </c>
      <c r="R18" s="80">
        <f t="shared" si="5"/>
        <v>163559588.33197674</v>
      </c>
      <c r="S18" s="80">
        <f t="shared" si="5"/>
        <v>161954824.03813455</v>
      </c>
      <c r="T18" s="80">
        <f t="shared" si="5"/>
        <v>160426477.09161815</v>
      </c>
      <c r="U18" s="80">
        <f t="shared" si="5"/>
        <v>158970908.57112634</v>
      </c>
    </row>
    <row r="19" ht="15.75" customHeight="1">
      <c r="B19" s="19"/>
      <c r="C19" s="19" t="s">
        <v>354</v>
      </c>
      <c r="D19" s="19"/>
      <c r="E19" s="19"/>
      <c r="F19" s="19"/>
      <c r="G19" s="19"/>
      <c r="H19" s="19"/>
      <c r="I19" s="19"/>
      <c r="J19" s="19"/>
      <c r="K19" s="19"/>
      <c r="L19" s="86" t="n">
        <f t="shared" ref="L19:U19" si="6">(L16+L18)/2</f>
        <v>176149860.7419355</v>
      </c>
      <c r="M19" s="86">
        <f t="shared" si="6"/>
        <v>173945559.66666666</v>
      </c>
      <c r="N19" s="86">
        <f t="shared" si="6"/>
        <v>171846225.30926779</v>
      </c>
      <c r="O19" s="86">
        <f t="shared" si="6"/>
        <v>169846859.25460219</v>
      </c>
      <c r="P19" s="86">
        <f t="shared" si="6"/>
        <v>167942701.10730162</v>
      </c>
      <c r="Q19" s="86">
        <f t="shared" si="6"/>
        <v>166129217.15749156</v>
      </c>
      <c r="R19" s="86">
        <f t="shared" si="6"/>
        <v>164402089.5862439</v>
      </c>
      <c r="S19" s="86">
        <f t="shared" si="6"/>
        <v>162757206.18505564</v>
      </c>
      <c r="T19" s="86">
        <f t="shared" si="6"/>
        <v>161190650.56487635</v>
      </c>
      <c r="U19" s="86">
        <f t="shared" si="6"/>
        <v>159698692.83137226</v>
      </c>
    </row>
    <row r="20" ht="15.75" customHeight="1">
      <c r="B20" s="19"/>
      <c r="C20" s="19"/>
      <c r="D20" s="19"/>
      <c r="E20" s="19"/>
      <c r="F20" s="19"/>
      <c r="G20" s="19"/>
      <c r="H20" s="19"/>
      <c r="I20" s="19"/>
      <c r="J20" s="19"/>
      <c r="K20" s="19"/>
      <c r="L20" s="97"/>
      <c r="M20" s="97"/>
      <c r="N20" s="97"/>
      <c r="O20" s="97"/>
      <c r="P20" s="97"/>
      <c r="Q20" s="97"/>
      <c r="R20" s="97"/>
      <c r="S20" s="97"/>
      <c r="T20" s="97"/>
      <c r="U20" s="97"/>
    </row>
    <row r="21" ht="15.75" customHeight="1">
      <c r="B21" s="36" t="s">
        <v>355</v>
      </c>
      <c r="C21" s="19"/>
      <c r="D21" s="19"/>
      <c r="E21" s="19"/>
      <c r="F21" s="19"/>
      <c r="G21" s="19"/>
      <c r="H21" s="19"/>
      <c r="I21" s="19"/>
      <c r="J21" s="19"/>
      <c r="K21" s="19"/>
      <c r="L21" s="97"/>
      <c r="M21" s="97"/>
      <c r="N21" s="97"/>
      <c r="O21" s="97"/>
      <c r="P21" s="97"/>
      <c r="Q21" s="97"/>
      <c r="R21" s="97"/>
      <c r="S21" s="97"/>
      <c r="T21" s="97"/>
      <c r="U21" s="97"/>
    </row>
    <row r="22" ht="15.75" customHeight="1">
      <c r="B22" s="19"/>
      <c r="C22" s="19" t="s">
        <v>356</v>
      </c>
      <c r="D22" s="19"/>
      <c r="E22" s="19"/>
      <c r="F22" s="19"/>
      <c r="G22" s="19"/>
      <c r="H22" s="19"/>
      <c r="I22" s="19"/>
      <c r="J22" s="19"/>
      <c r="K22" s="19"/>
      <c r="L22" s="86" t="n">
        <f>Forecasts!L43</f>
        <v>1708493.393956375</v>
      </c>
      <c r="M22" s="86" t="n">
        <f>Forecasts!M43</f>
        <v>1822029.035829896</v>
      </c>
      <c r="N22" s="86" t="n">
        <f>Forecasts!N43</f>
        <v>1942714.7806159123</v>
      </c>
      <c r="O22" s="86" t="n">
        <f>Forecasts!O43</f>
        <v>2060365.7382352017</v>
      </c>
      <c r="P22" s="86" t="n">
        <f>Forecasts!P43</f>
        <v>2173561.386606745</v>
      </c>
      <c r="Q22" s="86" t="n">
        <f>Forecasts!Q43</f>
        <v>2274257.0535847354</v>
      </c>
      <c r="R22" s="86" t="n">
        <f>Forecasts!R43</f>
        <v>2366642.7571123526</v>
      </c>
      <c r="S22" s="86" t="n">
        <f>Forecasts!S43</f>
        <v>2446428.7524175146</v>
      </c>
      <c r="T22" s="86" t="n">
        <f>Forecasts!T43</f>
        <v>2527429.352206569</v>
      </c>
      <c r="U22" s="86" t="n">
        <f>Forecasts!U43</f>
        <v>2593788.429940245</v>
      </c>
    </row>
    <row r="23" ht="15.75" customHeight="1">
      <c r="B23" s="19"/>
      <c r="C23" s="36" t="s">
        <v>357</v>
      </c>
      <c r="D23" s="19"/>
      <c r="E23" s="19"/>
      <c r="F23" s="19"/>
      <c r="G23" s="19"/>
      <c r="H23" s="19"/>
      <c r="I23" s="19"/>
      <c r="J23" s="19"/>
      <c r="K23" s="19"/>
      <c r="L23" s="98" t="n">
        <f t="shared" ref="L23:U23" si="7">L22*1000/L19</f>
        <v>9.699090233510693</v>
      </c>
      <c r="M23" s="98">
        <f t="shared" si="7"/>
        <v>10.474708519846473</v>
      </c>
      <c r="N23" s="98">
        <f t="shared" si="7"/>
        <v>11.30496045007478</v>
      </c>
      <c r="O23" s="98">
        <f t="shared" si="7"/>
        <v>12.130726156947608</v>
      </c>
      <c r="P23" s="98">
        <f t="shared" si="7"/>
        <v>12.942279552941198</v>
      </c>
      <c r="Q23" s="98">
        <f t="shared" si="7"/>
        <v>13.689687416204009</v>
      </c>
      <c r="R23" s="98">
        <f t="shared" si="7"/>
        <v>14.395454237038956</v>
      </c>
      <c r="S23" s="98">
        <f t="shared" si="7"/>
        <v>15.031154747372074</v>
      </c>
      <c r="T23" s="98">
        <f t="shared" si="7"/>
        <v>15.679751544828738</v>
      </c>
      <c r="U23" s="98">
        <f t="shared" si="7"/>
        <v>16.241763686062583</v>
      </c>
    </row>
    <row r="24" ht="15.75" customHeight="1">
      <c r="B24" s="19"/>
      <c r="C24" s="19" t="s">
        <v>358</v>
      </c>
      <c r="D24" s="19"/>
      <c r="E24" s="19"/>
      <c r="F24" s="19"/>
      <c r="G24" s="19"/>
      <c r="H24" s="19"/>
      <c r="I24" s="19"/>
      <c r="J24" s="19"/>
      <c r="K24" s="19"/>
      <c r="L24" s="99" t="n">
        <f>L23/8.97-1</f>
        <v>0.0812809624872568</v>
      </c>
      <c r="M24" s="99" t="n">
        <f t="shared" ref="M24:U24" si="8">M23/L23-1</f>
        <v>0.07996814831725052</v>
      </c>
      <c r="N24" s="99">
        <f t="shared" si="8"/>
        <v>7.9262533048554573E-2</v>
      </c>
      <c r="O24" s="99">
        <f t="shared" si="8"/>
        <v>7.3044546287410084E-2</v>
      </c>
      <c r="P24" s="99">
        <f t="shared" si="8"/>
        <v>6.6900644322004599E-2</v>
      </c>
      <c r="Q24" s="99">
        <f t="shared" si="8"/>
        <v>5.7749321532230224E-2</v>
      </c>
      <c r="R24" s="99">
        <f t="shared" si="8"/>
        <v>5.1554633745658496E-2</v>
      </c>
      <c r="S24" s="99">
        <f t="shared" si="8"/>
        <v>4.4159809052602528E-2</v>
      </c>
      <c r="T24" s="99">
        <f t="shared" si="8"/>
        <v>4.315016433252139E-2</v>
      </c>
      <c r="U24" s="99">
        <f t="shared" si="8"/>
        <v>3.5843178995983438E-2</v>
      </c>
    </row>
    <row r="25" ht="15.75" customHeight="1">
      <c r="B25" s="19"/>
      <c r="C25" s="19" t="s">
        <v>359</v>
      </c>
      <c r="D25" s="19"/>
      <c r="E25" s="19"/>
      <c r="F25" s="19"/>
      <c r="G25" s="19"/>
      <c r="H25" s="19"/>
      <c r="I25" s="19"/>
      <c r="J25" s="19"/>
      <c r="K25" s="19"/>
      <c r="L25" s="99" t="n">
        <f>L22/Forecasts!K43-1</f>
        <v>0.06813148099573563</v>
      </c>
      <c r="M25" s="99" t="n">
        <f>M22/Forecasts!L43-1</f>
        <v>0.06645366161504751</v>
      </c>
      <c r="N25" s="99" t="n">
        <f>N22/Forecasts!M43-1</f>
        <v>0.06623700413810707</v>
      </c>
      <c r="O25" s="99" t="n">
        <f>O22/Forecasts!N43-1</f>
        <v>0.060560077471583096</v>
      </c>
      <c r="P25" s="99" t="n">
        <f>P22/Forecasts!O43-1</f>
        <v>0.05493958973929569</v>
      </c>
      <c r="Q25" s="99" t="n">
        <f>Q22/Forecasts!P43-1</f>
        <v>0.046327500846521597</v>
      </c>
      <c r="R25" s="99" t="n">
        <f>R22/Forecasts!Q43-1</f>
        <v>0.04062236649194806</v>
      </c>
      <c r="S25" s="99" t="n">
        <f>S22/Forecasts!R43-1</f>
        <v>0.03371273296968247</v>
      </c>
      <c r="T25" s="99" t="n">
        <f>T22/Forecasts!S43-1</f>
        <v>0.03310973177085641</v>
      </c>
      <c r="U25" s="99" t="n">
        <f>U22/Forecasts!T43-1</f>
        <v>0.02625556187188427</v>
      </c>
    </row>
  </sheetData>
  <mergeCells>
    <mergeCell ref="A1:Z3"/>
    <mergeCell ref="A4:G4"/>
    <mergeCell ref="H4:N4"/>
    <mergeCell ref="O4:Z4"/>
    <mergeCell ref="A5:Z5"/>
    <mergeCell ref="C13:F13"/>
    <mergeCell ref="B15:F15"/>
    <mergeCell ref="B8:F8"/>
    <mergeCell ref="B9:F9"/>
    <mergeCell ref="C10:F10"/>
    <mergeCell ref="C11:F11"/>
    <mergeCell ref="C12:F12"/>
  </mergeCells>
  <pageMargins left="0.7" right="0.7" top="0.75" bottom="0.75" header="0.3" footer="0.3"/>
  <drawing r:id="R9e985e3db4e2496b"/>
</worksheet>
</file>

<file path=xl/worksheets/sheet17.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3" width="20.33203125" style="11" customWidth="1"/>
    <col min="4" max="4" width="20.5" style="11" customWidth="1"/>
    <col min="5" max="5" width="31" style="11" customWidth="1"/>
    <col min="6" max="6" width="40.1640625" style="11" customWidth="1"/>
    <col min="7" max="7" width="21.83203125" style="11" customWidth="1"/>
    <col min="8" max="8" width="12.83203125" style="11" customWidth="1"/>
    <col min="9" max="9" width="14.6640625" style="11" customWidth="1"/>
    <col min="10" max="10" width="13.33203125" style="11" customWidth="1"/>
    <col min="11" max="11" width="21.33203125" style="11" customWidth="1"/>
    <col min="12" max="12" width="19.83203125" style="11" customWidth="1"/>
    <col min="13" max="13" width="33" style="11" customWidth="1"/>
    <col min="14" max="14" width="49.1640625" style="11" customWidth="1"/>
    <col min="15" max="15" width="24.5" style="11" customWidth="1"/>
    <col min="16" max="16" width="19.33203125" style="11" customWidth="1"/>
    <col min="17" max="17" width="27.1640625" style="11" customWidth="1"/>
    <col min="18" max="18" width="29.6640625" style="11" customWidth="1"/>
    <col min="19" max="19" width="10.83203125" style="11" customWidth="1"/>
    <col min="20" max="20" width="13" style="11" customWidth="1"/>
    <col min="21" max="21" width="10.83203125" style="11" customWidth="1"/>
  </cols>
  <sheetData>
    <row r="1" ht="15.75" customHeight="1">
      <c r="A1" s="318" t="s">
        <v>360</v>
      </c>
      <c r="B1" s="318"/>
      <c r="C1" s="318"/>
      <c r="D1" s="318"/>
      <c r="E1" s="318"/>
      <c r="F1" s="318"/>
      <c r="G1" s="318"/>
      <c r="H1" s="318"/>
      <c r="I1" s="318"/>
      <c r="J1" s="318"/>
      <c r="K1" s="318"/>
      <c r="L1" s="318"/>
      <c r="M1" s="318"/>
      <c r="N1" s="318"/>
      <c r="O1" s="318"/>
      <c r="P1" s="318"/>
      <c r="Q1" s="318"/>
      <c r="R1" s="318"/>
      <c r="S1" s="318"/>
      <c r="T1" s="318"/>
      <c r="U1" s="318"/>
    </row>
    <row r="2" ht="15.75" customHeight="1">
      <c r="A2" s="318"/>
      <c r="B2" s="318"/>
      <c r="C2" s="318"/>
      <c r="D2" s="318"/>
      <c r="E2" s="318"/>
      <c r="F2" s="318"/>
      <c r="G2" s="318"/>
      <c r="H2" s="318"/>
      <c r="I2" s="318"/>
      <c r="J2" s="318"/>
      <c r="K2" s="318"/>
      <c r="L2" s="318"/>
      <c r="M2" s="318"/>
      <c r="N2" s="318"/>
      <c r="O2" s="318"/>
      <c r="P2" s="318"/>
      <c r="Q2" s="318"/>
      <c r="R2" s="318"/>
      <c r="S2" s="318"/>
      <c r="T2" s="318"/>
      <c r="U2" s="318"/>
    </row>
    <row r="3" ht="15.75" customHeight="1">
      <c r="A3" s="318"/>
      <c r="B3" s="318"/>
      <c r="C3" s="318"/>
      <c r="D3" s="318"/>
      <c r="E3" s="318"/>
      <c r="F3" s="318"/>
      <c r="G3" s="318"/>
      <c r="H3" s="318"/>
      <c r="I3" s="318"/>
      <c r="J3" s="318"/>
      <c r="K3" s="318"/>
      <c r="L3" s="318"/>
      <c r="M3" s="318"/>
      <c r="N3" s="318"/>
      <c r="O3" s="318"/>
      <c r="P3" s="318"/>
      <c r="Q3" s="318"/>
      <c r="R3" s="318"/>
      <c r="S3" s="318"/>
      <c r="T3" s="318"/>
      <c r="U3" s="318"/>
    </row>
    <row r="4" ht="4.5" customHeight="1">
      <c r="A4" s="308"/>
      <c r="B4" s="308"/>
      <c r="C4" s="308"/>
      <c r="D4" s="308"/>
      <c r="E4" s="308"/>
      <c r="F4" s="308"/>
      <c r="G4" s="308"/>
      <c r="H4" s="294"/>
      <c r="I4" s="294"/>
      <c r="J4" s="294"/>
      <c r="K4" s="294"/>
      <c r="L4" s="294"/>
      <c r="M4" s="294"/>
      <c r="N4" s="294"/>
      <c r="O4" s="309"/>
      <c r="P4" s="309"/>
      <c r="Q4" s="309"/>
      <c r="R4" s="309"/>
      <c r="S4" s="309"/>
      <c r="T4" s="309"/>
      <c r="U4" s="309"/>
    </row>
    <row r="5" ht="1.5" customHeight="1">
      <c r="A5" s="312"/>
      <c r="B5" s="312"/>
      <c r="C5" s="312"/>
      <c r="D5" s="312"/>
      <c r="E5" s="312"/>
      <c r="F5" s="312"/>
      <c r="G5" s="312"/>
      <c r="H5" s="312"/>
      <c r="I5" s="312"/>
      <c r="J5" s="312"/>
      <c r="K5" s="312"/>
      <c r="L5" s="312"/>
      <c r="M5" s="312"/>
      <c r="N5" s="312"/>
      <c r="O5" s="312"/>
      <c r="P5" s="312"/>
      <c r="Q5" s="312"/>
      <c r="R5" s="312"/>
      <c r="S5" s="312"/>
      <c r="T5" s="312"/>
      <c r="U5" s="312"/>
    </row>
    <row r="6">
      <c r="H6" s="11" t="s">
        <v>361</v>
      </c>
      <c r="I6" s="100">
        <v>46203</v>
      </c>
    </row>
    <row r="7">
      <c r="K7" s="353"/>
      <c r="L7" s="353"/>
      <c r="M7" s="353"/>
      <c r="N7" s="353"/>
      <c r="O7" s="353"/>
      <c r="P7" s="353"/>
      <c r="Q7" s="353"/>
      <c r="R7" s="353"/>
      <c r="S7" s="353"/>
      <c r="T7" s="353"/>
    </row>
    <row r="8" ht="15.75" customHeight="1">
      <c r="B8" s="294"/>
      <c r="C8" s="294"/>
      <c r="D8" s="294"/>
      <c r="E8" s="294"/>
      <c r="F8" s="294"/>
      <c r="G8" s="32" t="s">
        <v>362</v>
      </c>
      <c r="H8" s="96"/>
      <c r="I8" s="96"/>
      <c r="J8" s="96"/>
      <c r="K8" s="214"/>
      <c r="L8" s="214"/>
      <c r="M8" s="214"/>
      <c r="N8" s="214"/>
      <c r="O8" s="214"/>
      <c r="P8" s="214"/>
      <c r="Q8" s="214"/>
      <c r="R8" s="214"/>
    </row>
    <row r="9" ht="15.75" customHeight="1">
      <c r="B9" s="354" t="s">
        <v>363</v>
      </c>
      <c r="C9" s="354"/>
      <c r="D9" s="354"/>
      <c r="E9" s="354"/>
      <c r="F9" s="354"/>
      <c r="G9" s="25"/>
      <c r="H9" s="15"/>
      <c r="I9" s="15"/>
      <c r="J9" s="15"/>
      <c r="K9" s="215"/>
      <c r="L9" s="216"/>
      <c r="M9" s="216"/>
      <c r="N9" s="216"/>
      <c r="O9" s="217"/>
      <c r="P9" s="216"/>
      <c r="Q9" s="218"/>
      <c r="R9" s="218"/>
    </row>
    <row r="10" ht="15.75" customHeight="1">
      <c r="B10" s="283"/>
      <c r="C10" s="355" t="s">
        <v>364</v>
      </c>
      <c r="D10" s="355"/>
      <c r="E10" s="355"/>
      <c r="F10" s="355"/>
      <c r="G10" s="93">
        <v>2.8199999999999999E-2</v>
      </c>
      <c r="H10" s="15"/>
      <c r="I10" s="15"/>
      <c r="J10" s="15"/>
      <c r="K10" s="219"/>
      <c r="L10" s="216"/>
      <c r="M10" s="216"/>
      <c r="N10" s="216"/>
      <c r="O10" s="217"/>
      <c r="P10" s="216"/>
      <c r="Q10" s="218"/>
      <c r="R10" s="218"/>
    </row>
    <row r="11" ht="15.75" customHeight="1">
      <c r="B11" s="283"/>
      <c r="C11" s="355" t="s">
        <v>365</v>
      </c>
      <c r="D11" s="355"/>
      <c r="E11" s="355"/>
      <c r="F11" s="355"/>
      <c r="G11" s="106">
        <v>0.59</v>
      </c>
      <c r="H11" s="15"/>
      <c r="I11" s="15"/>
      <c r="J11" s="15"/>
      <c r="K11" s="215"/>
      <c r="L11" s="216"/>
      <c r="M11" s="216"/>
      <c r="N11" s="216"/>
      <c r="O11" s="217"/>
      <c r="P11" s="216"/>
      <c r="Q11" s="218"/>
      <c r="R11" s="218"/>
    </row>
    <row r="12" ht="15.75" customHeight="1">
      <c r="B12" s="283"/>
      <c r="C12" s="355" t="s">
        <v>366</v>
      </c>
      <c r="D12" s="355"/>
      <c r="E12" s="355"/>
      <c r="F12" s="355"/>
      <c r="G12" s="106" t="n">
        <f>G11*2/3+1/3</f>
        <v>0.7266666666666666</v>
      </c>
      <c r="H12" s="108"/>
      <c r="I12" s="109"/>
      <c r="J12" s="15"/>
      <c r="K12" s="215"/>
      <c r="L12" s="216"/>
      <c r="M12" s="216"/>
      <c r="N12" s="216"/>
      <c r="O12" s="217"/>
      <c r="P12" s="216"/>
      <c r="Q12" s="218"/>
      <c r="R12" s="218"/>
    </row>
    <row r="13" ht="15.75" customHeight="1">
      <c r="B13" s="283"/>
      <c r="C13" s="355" t="s">
        <v>367</v>
      </c>
      <c r="D13" s="355"/>
      <c r="E13" s="355"/>
      <c r="F13" s="355"/>
      <c r="G13" s="106" t="n">
        <f>Beta!K32</f>
        <v>0.7408310705464917</v>
      </c>
      <c r="H13" s="15"/>
      <c r="I13" s="109"/>
      <c r="J13" s="15"/>
      <c r="K13" s="220"/>
      <c r="L13" s="216"/>
      <c r="M13" s="216"/>
      <c r="N13" s="216"/>
      <c r="O13" s="217"/>
      <c r="P13" s="216"/>
      <c r="Q13" s="218"/>
      <c r="R13" s="218"/>
      <c r="V13" s="110" t="s">
        <v>368</v>
      </c>
      <c r="W13" s="11"/>
      <c r="X13" s="11"/>
      <c r="Y13" s="11"/>
      <c r="Z13" s="11"/>
    </row>
    <row r="14" ht="15.75" customHeight="1">
      <c r="B14" s="283"/>
      <c r="C14" s="355" t="s">
        <v>369</v>
      </c>
      <c r="D14" s="355"/>
      <c r="E14" s="355"/>
      <c r="F14" s="355"/>
      <c r="G14" s="213" t="n">
        <f>Beta!F41</f>
        <v>0.872366253026035</v>
      </c>
      <c r="H14" s="15"/>
      <c r="I14" s="15"/>
      <c r="J14" s="15"/>
      <c r="K14" s="220"/>
      <c r="L14" s="216"/>
      <c r="M14" s="216"/>
      <c r="N14" s="216"/>
      <c r="O14" s="217"/>
      <c r="P14" s="221"/>
      <c r="Q14" s="218"/>
      <c r="R14" s="218"/>
      <c r="V14" s="11"/>
      <c r="W14" s="111" t="s">
        <v>370</v>
      </c>
      <c r="X14" s="11"/>
      <c r="Y14" s="11"/>
      <c r="Z14" s="11"/>
    </row>
    <row r="15" ht="15.75" customHeight="1">
      <c r="B15" s="283"/>
      <c r="C15" s="355" t="s">
        <v>371</v>
      </c>
      <c r="D15" s="355"/>
      <c r="E15" s="355"/>
      <c r="F15" s="355"/>
      <c r="G15" s="93">
        <v>4.1700000000000001E-2</v>
      </c>
      <c r="H15" s="15"/>
      <c r="I15" s="15"/>
      <c r="J15" s="15"/>
      <c r="K15" s="220"/>
      <c r="L15" s="216"/>
      <c r="M15" s="216"/>
      <c r="N15" s="216"/>
      <c r="O15" s="217"/>
      <c r="P15" s="216"/>
      <c r="Q15" s="218"/>
      <c r="R15" s="218"/>
      <c r="V15" s="114"/>
      <c r="W15" s="111" t="s">
        <v>372</v>
      </c>
      <c r="X15" s="11"/>
      <c r="Y15" s="11"/>
      <c r="Z15" s="11"/>
    </row>
    <row r="16" ht="15.75" customHeight="1">
      <c r="B16" s="356" t="s">
        <v>373</v>
      </c>
      <c r="C16" s="356"/>
      <c r="D16" s="356"/>
      <c r="E16" s="356"/>
      <c r="F16" s="356"/>
      <c r="G16" s="93" t="n">
        <f>G10+G13*G15</f>
        <v>0.0590926556417887</v>
      </c>
      <c r="K16" s="220"/>
      <c r="L16" s="216"/>
      <c r="M16" s="216"/>
      <c r="N16" s="216"/>
      <c r="O16" s="217"/>
      <c r="P16" s="216"/>
      <c r="Q16" s="218"/>
      <c r="R16" s="218"/>
      <c r="V16" s="11"/>
      <c r="W16" s="111" t="s">
        <v>374</v>
      </c>
      <c r="X16" s="11"/>
      <c r="Y16" s="11"/>
      <c r="Z16" s="11"/>
    </row>
    <row r="17" ht="15.75" customHeight="1">
      <c r="B17" s="28"/>
      <c r="C17" s="28"/>
      <c r="D17" s="28"/>
      <c r="E17" s="28"/>
      <c r="F17" s="28"/>
      <c r="G17" s="33"/>
      <c r="K17" s="220"/>
      <c r="L17" s="216"/>
      <c r="M17" s="216"/>
      <c r="N17" s="216"/>
      <c r="O17" s="217"/>
      <c r="P17" s="216"/>
      <c r="Q17" s="218"/>
      <c r="R17" s="218"/>
      <c r="V17" s="11"/>
      <c r="W17" s="111" t="s">
        <v>375</v>
      </c>
      <c r="X17" s="11"/>
      <c r="Y17" s="11"/>
      <c r="Z17" s="11"/>
    </row>
    <row r="18" ht="15.75" customHeight="1">
      <c r="B18" s="434" t="s">
        <v>368</v>
      </c>
      <c r="C18" s="434"/>
      <c r="D18" s="434"/>
      <c r="E18" s="434"/>
      <c r="F18" s="434"/>
      <c r="G18" s="33"/>
      <c r="K18" s="215"/>
      <c r="L18" s="216"/>
      <c r="M18" s="216"/>
      <c r="N18" s="222"/>
      <c r="O18" s="222"/>
      <c r="P18" s="223"/>
      <c r="Q18" s="218"/>
      <c r="R18" s="216"/>
      <c r="V18" s="11"/>
      <c r="W18" s="111" t="s">
        <v>376</v>
      </c>
      <c r="X18" s="11"/>
      <c r="Y18" s="11"/>
      <c r="Z18" s="11"/>
    </row>
    <row r="19" ht="15.75" customHeight="1">
      <c r="B19" s="283"/>
      <c r="C19" s="433" t="s">
        <v>377</v>
      </c>
      <c r="D19" s="433"/>
      <c r="E19" s="433"/>
      <c r="F19" s="433"/>
      <c r="G19" s="93">
        <v>3.6859999999999997E-2</v>
      </c>
      <c r="K19" s="52"/>
      <c r="N19" s="224"/>
      <c r="O19" s="224"/>
      <c r="P19" s="225"/>
      <c r="V19" s="110" t="s">
        <v>378</v>
      </c>
      <c r="W19" s="11"/>
      <c r="X19" s="11"/>
      <c r="Y19" s="11"/>
      <c r="Z19" s="11"/>
    </row>
    <row r="20" ht="15.75" customHeight="1">
      <c r="B20" s="435"/>
      <c r="C20" s="433" t="s">
        <v>379</v>
      </c>
      <c r="D20" s="433"/>
      <c r="E20" s="433"/>
      <c r="F20" s="433"/>
      <c r="G20" s="93">
        <v>2.5100000000000001E-2</v>
      </c>
      <c r="K20" s="52"/>
      <c r="O20" s="352"/>
      <c r="P20" s="352"/>
      <c r="Q20" s="352"/>
      <c r="R20" s="352"/>
      <c r="V20" s="11"/>
      <c r="W20" s="184" t="s">
        <v>380</v>
      </c>
      <c r="X20" s="11"/>
      <c r="Y20" s="11"/>
      <c r="Z20" s="11"/>
    </row>
    <row r="21" ht="15.75" customHeight="1">
      <c r="B21" s="283"/>
      <c r="C21" s="433" t="s">
        <v>374</v>
      </c>
      <c r="D21" s="433"/>
      <c r="E21" s="433"/>
      <c r="F21" s="433"/>
      <c r="G21" s="93" t="n">
        <f>G19-G20</f>
        <v>0.011759999999999996</v>
      </c>
      <c r="K21" s="226"/>
      <c r="L21" s="226"/>
      <c r="M21" s="226"/>
      <c r="N21" s="118"/>
      <c r="O21" s="350"/>
      <c r="P21" s="216"/>
      <c r="Q21" s="218"/>
      <c r="R21" s="218"/>
      <c r="T21" s="119"/>
    </row>
    <row r="22" ht="15.75" customHeight="1">
      <c r="B22" s="283"/>
      <c r="C22" s="433" t="s">
        <v>381</v>
      </c>
      <c r="D22" s="433"/>
      <c r="E22" s="433"/>
      <c r="F22" s="433"/>
      <c r="G22" s="182" t="n">
        <f>G10+G21</f>
        <v>0.039959999999999996</v>
      </c>
      <c r="K22" s="216"/>
      <c r="L22" s="216"/>
      <c r="M22" s="216"/>
      <c r="N22" s="118"/>
      <c r="O22" s="350"/>
      <c r="P22" s="216"/>
      <c r="Q22" s="218"/>
      <c r="R22" s="218"/>
    </row>
    <row r="23" ht="15.75" customHeight="1">
      <c r="B23" s="283"/>
      <c r="C23" s="433" t="s">
        <v>382</v>
      </c>
      <c r="D23" s="433"/>
      <c r="E23" s="433"/>
      <c r="F23" s="433"/>
      <c r="G23" s="182" t="n">
        <f>Forecasts!L42/Forecasts!L41</f>
        <v>0.225</v>
      </c>
      <c r="K23" s="216"/>
      <c r="L23" s="227"/>
      <c r="M23" s="227"/>
      <c r="N23" s="52"/>
      <c r="O23" s="351"/>
      <c r="P23" s="216"/>
      <c r="Q23" s="218"/>
      <c r="R23" s="218"/>
    </row>
    <row r="24" ht="15.75" customHeight="1">
      <c r="B24" s="434" t="s">
        <v>378</v>
      </c>
      <c r="C24" s="434"/>
      <c r="D24" s="434"/>
      <c r="E24" s="434"/>
      <c r="F24" s="434"/>
      <c r="G24" s="181" t="n">
        <f>G22*(1-G23)</f>
        <v>0.030968999999999997</v>
      </c>
      <c r="N24" s="52"/>
      <c r="O24" s="351"/>
      <c r="P24" s="216"/>
      <c r="Q24" s="218"/>
      <c r="R24" s="218"/>
    </row>
    <row r="25" ht="15.75" customHeight="1">
      <c r="B25" s="283"/>
      <c r="C25" s="283"/>
      <c r="D25" s="283"/>
      <c r="E25" s="283"/>
      <c r="F25" s="283"/>
      <c r="G25" s="33"/>
      <c r="N25" s="52"/>
      <c r="O25" s="351"/>
      <c r="P25" s="216"/>
      <c r="Q25" s="218"/>
      <c r="R25" s="218"/>
    </row>
    <row r="26" ht="15.75" customHeight="1">
      <c r="B26" s="434" t="s">
        <v>383</v>
      </c>
      <c r="C26" s="434"/>
      <c r="D26" s="434"/>
      <c r="E26" s="434"/>
      <c r="F26" s="434"/>
      <c r="G26" s="33"/>
      <c r="N26" s="52"/>
      <c r="O26" s="351"/>
      <c r="P26" s="216"/>
      <c r="Q26" s="218"/>
      <c r="R26" s="218"/>
    </row>
    <row r="27" ht="15.75" customHeight="1">
      <c r="A27" s="180"/>
      <c r="B27" s="283"/>
      <c r="C27" s="433" t="s">
        <v>384</v>
      </c>
      <c r="D27" s="433"/>
      <c r="E27" s="433"/>
      <c r="F27" s="433"/>
      <c r="G27" s="121">
        <v>318.85000000000002</v>
      </c>
      <c r="H27" s="430"/>
    </row>
    <row r="28" ht="15.75" customHeight="1">
      <c r="A28" s="180"/>
      <c r="B28" s="283"/>
      <c r="C28" s="433" t="s">
        <v>385</v>
      </c>
      <c r="D28" s="433"/>
      <c r="E28" s="433"/>
      <c r="F28" s="433"/>
      <c r="G28" s="125">
        <v>175916530</v>
      </c>
      <c r="K28" s="47"/>
      <c r="N28" s="228"/>
      <c r="O28" s="349"/>
      <c r="P28" s="349"/>
      <c r="Q28" s="349"/>
      <c r="R28" s="349"/>
      <c r="T28" s="191"/>
      <c r="V28" s="123" t="s">
        <v>386</v>
      </c>
      <c r="W28" s="123" t="s">
        <v>387</v>
      </c>
      <c r="X28" s="123" t="s">
        <v>388</v>
      </c>
      <c r="Y28" s="123" t="s">
        <v>389</v>
      </c>
    </row>
    <row r="29" ht="15.75" customHeight="1">
      <c r="A29" s="180"/>
      <c r="B29" s="283"/>
      <c r="C29" s="433" t="s">
        <v>390</v>
      </c>
      <c r="D29" s="433"/>
      <c r="E29" s="433"/>
      <c r="F29" s="433"/>
      <c r="G29" s="125" t="n">
        <f>G27*G28/1000</f>
        <v>56090985.590500005</v>
      </c>
      <c r="K29" s="47"/>
      <c r="N29" s="118"/>
      <c r="O29" s="350"/>
      <c r="P29" s="216"/>
      <c r="Q29" s="218"/>
      <c r="R29" s="218"/>
      <c r="T29" s="192"/>
      <c r="V29" s="123" t="s">
        <v>391</v>
      </c>
      <c r="W29" s="123">
        <v>0.77800000000000002</v>
      </c>
      <c r="X29" t="s">
        <v>392</v>
      </c>
      <c r="Y29" s="123" t="s">
        <v>393</v>
      </c>
    </row>
    <row r="30" ht="15.75" customHeight="1">
      <c r="A30" s="180"/>
      <c r="B30" s="283"/>
      <c r="C30" s="433" t="s">
        <v>394</v>
      </c>
      <c r="D30" s="433"/>
      <c r="E30" s="433"/>
      <c r="F30" s="433"/>
      <c r="G30" s="25" t="n">
        <f>'Balance Sheet'!K33-1385000</f>
        <v>1499220</v>
      </c>
      <c r="N30" s="118"/>
      <c r="O30" s="350"/>
      <c r="P30" s="216"/>
      <c r="Q30" s="218"/>
      <c r="R30" s="218"/>
      <c r="T30" s="192"/>
      <c r="V30" s="123" t="s">
        <v>395</v>
      </c>
      <c r="W30" s="123">
        <v>0.89200000000000002</v>
      </c>
      <c r="X30" t="s">
        <v>396</v>
      </c>
      <c r="Y30" s="123" t="s">
        <v>397</v>
      </c>
    </row>
    <row r="31" ht="15.75" customHeight="1">
      <c r="A31" s="180"/>
      <c r="B31" s="283"/>
      <c r="C31" s="433" t="s">
        <v>398</v>
      </c>
      <c r="D31" s="433"/>
      <c r="E31" s="433"/>
      <c r="F31" s="433"/>
      <c r="G31" s="93" t="n">
        <f>G29/(G29+G30)</f>
        <v>0.9739674483772409</v>
      </c>
      <c r="N31" s="52"/>
      <c r="O31" s="351"/>
      <c r="P31" s="216"/>
      <c r="Q31" s="218"/>
      <c r="R31" s="218"/>
      <c r="T31" s="192"/>
      <c r="U31" s="11" t="s">
        <v>399</v>
      </c>
      <c r="V31" s="123" t="s">
        <v>400</v>
      </c>
      <c r="W31" s="123">
        <v>0.78900000000000003</v>
      </c>
      <c r="X31" t="s">
        <v>401</v>
      </c>
      <c r="Y31" s="123" t="s">
        <v>402</v>
      </c>
    </row>
    <row r="32" ht="15.75" customHeight="1">
      <c r="A32" s="180"/>
      <c r="B32" s="283"/>
      <c r="C32" s="433" t="s">
        <v>403</v>
      </c>
      <c r="D32" s="433"/>
      <c r="E32" s="433"/>
      <c r="F32" s="433"/>
      <c r="G32" s="93" t="n">
        <f>G30/(G29+G30)</f>
        <v>0.02603255162275908</v>
      </c>
      <c r="N32" s="52"/>
      <c r="O32" s="351"/>
      <c r="P32" s="216"/>
      <c r="Q32" s="218"/>
      <c r="R32" s="218"/>
      <c r="T32" s="192"/>
      <c r="V32" s="123" t="s">
        <v>404</v>
      </c>
      <c r="W32" s="123">
        <v>1.004</v>
      </c>
      <c r="X32" t="s">
        <v>405</v>
      </c>
      <c r="Y32" s="123" t="s">
        <v>406</v>
      </c>
    </row>
    <row r="33" ht="15.75" customHeight="1">
      <c r="A33" s="180"/>
      <c r="B33" s="283"/>
      <c r="C33" s="283"/>
      <c r="D33" s="283"/>
      <c r="E33" s="283"/>
      <c r="F33" s="283"/>
      <c r="G33" s="33"/>
      <c r="N33" s="52"/>
      <c r="O33" s="351"/>
      <c r="P33" s="216"/>
      <c r="Q33" s="218"/>
      <c r="R33" s="218"/>
      <c r="T33" s="192"/>
      <c r="V33" s="123" t="s">
        <v>407</v>
      </c>
      <c r="W33" s="123">
        <v>1.165</v>
      </c>
      <c r="X33" t="s">
        <v>408</v>
      </c>
      <c r="Y33" s="123" t="s">
        <v>409</v>
      </c>
    </row>
    <row r="34" ht="15.75" customHeight="1">
      <c r="B34" s="283"/>
      <c r="C34" s="283"/>
      <c r="D34" s="283"/>
      <c r="E34" s="283"/>
      <c r="F34" s="283"/>
      <c r="G34" s="33"/>
      <c r="N34" s="52"/>
      <c r="O34" s="351"/>
      <c r="P34" s="216"/>
      <c r="Q34" s="218"/>
      <c r="R34" s="218"/>
      <c r="T34" s="192"/>
      <c r="V34" s="123" t="s">
        <v>410</v>
      </c>
      <c r="W34" s="123">
        <v>1.1160000000000001</v>
      </c>
      <c r="X34" t="s">
        <v>411</v>
      </c>
      <c r="Y34" s="123" t="s">
        <v>412</v>
      </c>
    </row>
    <row r="35" ht="15.75" customHeight="1">
      <c r="B35" s="434" t="s">
        <v>413</v>
      </c>
      <c r="C35" s="434"/>
      <c r="D35" s="434"/>
      <c r="E35" s="434"/>
      <c r="F35" s="434"/>
      <c r="G35" s="183" t="n">
        <f>(G31*G16)+(G32*G24)</f>
        <v>0.05836052512447313</v>
      </c>
    </row>
    <row r="36" ht="15.75" customHeight="1">
      <c r="B36" s="110"/>
    </row>
    <row r="37" ht="15.75" customHeight="1"/>
    <row r="38" ht="15.75" customHeight="1">
      <c r="B38" s="432" t="s">
        <v>414</v>
      </c>
      <c r="C38" s="432"/>
      <c r="D38" s="432"/>
      <c r="E38" s="432"/>
      <c r="F38" s="230"/>
      <c r="G38" s="230"/>
    </row>
    <row r="39">
      <c r="B39" s="36"/>
      <c r="C39" s="126" t="s">
        <v>415</v>
      </c>
      <c r="D39" s="127" t="n">
        <f>G15</f>
        <v>0.0417</v>
      </c>
      <c r="E39" s="127">
        <v>6.8900000000000003E-2</v>
      </c>
      <c r="F39" s="229"/>
      <c r="G39" s="229"/>
    </row>
    <row r="40" ht="15.75" customHeight="1">
      <c r="C40" s="126" t="s">
        <v>416</v>
      </c>
      <c r="D40" s="75" t="n">
        <f>$G$31*($G$10+G11*$D$39)+$G$32*$G$24</f>
        <v>0.052234605267868675</v>
      </c>
      <c r="E40" s="75" t="n">
        <f>$G$31*($G$10+G11*$E$39)+$G$32*$G$24</f>
        <v>0.06786483487942664</v>
      </c>
      <c r="F40" s="229"/>
      <c r="G40" s="229"/>
    </row>
    <row r="41" ht="15.75" customHeight="1">
      <c r="C41" s="126" t="s">
        <v>417</v>
      </c>
      <c r="D41" s="75" t="n">
        <f t="shared" ref="D41:D43" si="0">$G$31*($G$10+G12*$D$39)+$G$32*$G$24</f>
        <v>0.05778524575617057</v>
      </c>
      <c r="E41" s="75" t="n">
        <f t="shared" ref="E41:E43" si="1">$G$31*($G$10+G12*$E$39)+$G$32*$G$24</f>
        <v>0.07703603702916287</v>
      </c>
      <c r="F41" s="229"/>
      <c r="G41" s="229"/>
    </row>
    <row r="42" ht="15.75" customHeight="1">
      <c r="C42" s="126" t="s">
        <v>418</v>
      </c>
      <c r="D42" s="75">
        <f t="shared" si="0"/>
        <v>5.836052512447313E-2</v>
      </c>
      <c r="E42" s="75">
        <f t="shared" si="1"/>
        <v>7.7986558575351042E-2</v>
      </c>
    </row>
    <row r="43" ht="15.75" customHeight="1">
      <c r="C43" s="126" t="s">
        <v>419</v>
      </c>
      <c r="D43" s="75">
        <f t="shared" si="0"/>
        <v>6.3702753242818003E-2</v>
      </c>
      <c r="E43" s="75">
        <f t="shared" si="1"/>
        <v>8.681340551429495E-2</v>
      </c>
    </row>
    <row r="44" ht="15.75" customHeight="1"/>
    <row r="45">
      <c r="C45" s="144"/>
    </row>
    <row r="46">
      <c r="B46" s="144"/>
      <c r="C46" s="348"/>
      <c r="D46" s="348"/>
      <c r="E46" s="348"/>
      <c r="F46" s="348"/>
    </row>
    <row r="47">
      <c r="C47" s="204"/>
      <c r="D47" s="205"/>
      <c r="E47" s="205"/>
      <c r="F47" s="205"/>
    </row>
    <row r="48">
      <c r="C48" s="149"/>
      <c r="D48" s="206"/>
      <c r="E48" s="206"/>
      <c r="F48" s="207"/>
    </row>
    <row r="49">
      <c r="C49" s="148"/>
      <c r="D49" s="208"/>
      <c r="E49" s="208"/>
      <c r="F49" s="207"/>
    </row>
    <row r="50">
      <c r="C50" s="147"/>
      <c r="D50" s="209"/>
      <c r="E50" s="209"/>
      <c r="F50" s="207"/>
    </row>
    <row r="51">
      <c r="C51" s="147"/>
      <c r="D51" s="209"/>
      <c r="E51" s="209"/>
      <c r="F51" s="207"/>
    </row>
    <row r="52">
      <c r="B52" s="36"/>
      <c r="C52" s="147"/>
      <c r="D52" s="210"/>
      <c r="E52" s="210"/>
      <c r="F52" s="211"/>
    </row>
    <row r="53">
      <c r="B53" s="12"/>
      <c r="C53" s="12"/>
      <c r="D53" s="12"/>
      <c r="E53" s="12"/>
      <c r="F53" s="12"/>
    </row>
    <row r="54">
      <c r="B54" s="110"/>
    </row>
    <row r="55">
      <c r="C55" s="111"/>
    </row>
    <row r="56">
      <c r="B56" s="114"/>
      <c r="C56" s="111"/>
    </row>
    <row r="57">
      <c r="C57" s="111"/>
    </row>
    <row r="58">
      <c r="C58" s="111"/>
    </row>
    <row r="59">
      <c r="C59" s="111"/>
    </row>
    <row r="60">
      <c r="B60" s="110"/>
    </row>
    <row r="61">
      <c r="C61" s="184"/>
    </row>
  </sheetData>
  <mergeCells>
    <mergeCell ref="B24:F24"/>
    <mergeCell ref="B26:F26"/>
    <mergeCell ref="C27:F27"/>
    <mergeCell ref="C28:F28"/>
    <mergeCell ref="C29:F29"/>
    <mergeCell ref="C19:F19"/>
    <mergeCell ref="C20:F20"/>
    <mergeCell ref="C21:F21"/>
    <mergeCell ref="C22:F22"/>
    <mergeCell ref="C23:F23"/>
    <mergeCell ref="C13:F13"/>
    <mergeCell ref="C14:F14"/>
    <mergeCell ref="C15:F15"/>
    <mergeCell ref="B16:F16"/>
    <mergeCell ref="B18:F18"/>
    <mergeCell ref="B8:F8"/>
    <mergeCell ref="B9:F9"/>
    <mergeCell ref="C12:F12"/>
    <mergeCell ref="A1:U3"/>
    <mergeCell ref="A4:G4"/>
    <mergeCell ref="H4:N4"/>
    <mergeCell ref="O4:U4"/>
    <mergeCell ref="A5:U5"/>
    <mergeCell ref="C10:F10"/>
    <mergeCell ref="C11:F11"/>
    <mergeCell ref="O20:R20"/>
    <mergeCell ref="O21:O22"/>
    <mergeCell ref="O23:O24"/>
    <mergeCell ref="O25:O26"/>
    <mergeCell ref="K7:T7"/>
    <mergeCell ref="C46:F46"/>
    <mergeCell ref="O28:R28"/>
    <mergeCell ref="O29:O30"/>
    <mergeCell ref="O31:O32"/>
    <mergeCell ref="O33:O34"/>
    <mergeCell ref="C30:F30"/>
    <mergeCell ref="C31:F31"/>
    <mergeCell ref="C32:F32"/>
    <mergeCell ref="B35:F35"/>
    <mergeCell ref="B38:E38"/>
  </mergeCells>
  <pageMargins left="0.7" right="0.7" top="0.75" bottom="0.75" header="0.3" footer="0.3"/>
  <drawing r:id="Ra63149ddbb8d45a7"/>
</worksheet>
</file>

<file path=xl/worksheets/sheet18.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3" width="21.5" style="11" customWidth="1"/>
    <col min="4" max="4" width="20.1640625" style="11" customWidth="1"/>
    <col min="5" max="5" width="29.6640625" style="11" customWidth="1"/>
    <col min="6" max="6" width="41.6640625" style="11" customWidth="1"/>
    <col min="7" max="7" width="21.83203125" style="11" customWidth="1"/>
    <col min="8" max="8" width="12.83203125" style="11" customWidth="1"/>
    <col min="9" max="9" width="26.83203125" style="11" customWidth="1"/>
    <col min="10" max="10" width="30.6640625" style="11" customWidth="1"/>
    <col min="11" max="11" width="21.33203125" style="11" customWidth="1"/>
    <col min="12" max="12" width="19.83203125" style="11" customWidth="1"/>
    <col min="13" max="13" width="33" style="11" customWidth="1"/>
    <col min="14" max="14" width="24.1640625" style="11" customWidth="1"/>
    <col min="15" max="15" width="24.5" style="11" customWidth="1"/>
    <col min="16" max="16" width="19.33203125" style="11" customWidth="1"/>
    <col min="17" max="17" width="27.1640625" style="11" customWidth="1"/>
    <col min="18" max="18" width="29.6640625" style="11" customWidth="1"/>
    <col min="19" max="19" width="21.5" style="11" customWidth="1"/>
    <col min="20" max="20" width="22" style="11" customWidth="1"/>
    <col min="21" max="21" width="10.83203125" style="11" customWidth="1"/>
  </cols>
  <sheetData>
    <row r="1" ht="15.75" customHeight="1">
      <c r="A1" s="318" t="s">
        <v>420</v>
      </c>
      <c r="B1" s="318"/>
      <c r="C1" s="318"/>
      <c r="D1" s="318"/>
      <c r="E1" s="318"/>
      <c r="F1" s="318"/>
      <c r="G1" s="318"/>
      <c r="H1" s="318"/>
      <c r="I1" s="318"/>
      <c r="J1" s="318"/>
      <c r="K1" s="318"/>
      <c r="L1" s="318"/>
      <c r="M1" s="318"/>
      <c r="N1" s="318"/>
      <c r="O1" s="318"/>
      <c r="P1" s="318"/>
      <c r="Q1" s="318"/>
      <c r="R1" s="318"/>
      <c r="S1" s="318"/>
      <c r="T1" s="318"/>
      <c r="U1" s="318"/>
    </row>
    <row r="2" ht="15.75" customHeight="1">
      <c r="A2" s="318"/>
      <c r="B2" s="318"/>
      <c r="C2" s="318"/>
      <c r="D2" s="318"/>
      <c r="E2" s="318"/>
      <c r="F2" s="318"/>
      <c r="G2" s="318"/>
      <c r="H2" s="318"/>
      <c r="I2" s="318"/>
      <c r="J2" s="318"/>
      <c r="K2" s="318"/>
      <c r="L2" s="318"/>
      <c r="M2" s="318"/>
      <c r="N2" s="318"/>
      <c r="O2" s="318"/>
      <c r="P2" s="318"/>
      <c r="Q2" s="318"/>
      <c r="R2" s="318"/>
      <c r="S2" s="318"/>
      <c r="T2" s="318"/>
      <c r="U2" s="318"/>
    </row>
    <row r="3" ht="15.75" customHeight="1">
      <c r="A3" s="318"/>
      <c r="B3" s="318"/>
      <c r="C3" s="318"/>
      <c r="D3" s="318"/>
      <c r="E3" s="318"/>
      <c r="F3" s="318"/>
      <c r="G3" s="318"/>
      <c r="H3" s="318"/>
      <c r="I3" s="318"/>
      <c r="J3" s="318"/>
      <c r="K3" s="318"/>
      <c r="L3" s="318"/>
      <c r="M3" s="318"/>
      <c r="N3" s="318"/>
      <c r="O3" s="318"/>
      <c r="P3" s="318"/>
      <c r="Q3" s="318"/>
      <c r="R3" s="318"/>
      <c r="S3" s="318"/>
      <c r="T3" s="318"/>
      <c r="U3" s="318"/>
    </row>
    <row r="4" ht="4.5" customHeight="1">
      <c r="A4" s="308"/>
      <c r="B4" s="308"/>
      <c r="C4" s="308"/>
      <c r="D4" s="308"/>
      <c r="E4" s="308"/>
      <c r="F4" s="308"/>
      <c r="G4" s="308"/>
      <c r="H4" s="294"/>
      <c r="I4" s="294"/>
      <c r="J4" s="294"/>
      <c r="K4" s="294"/>
      <c r="L4" s="294"/>
      <c r="M4" s="294"/>
      <c r="N4" s="294"/>
      <c r="O4" s="309"/>
      <c r="P4" s="309"/>
      <c r="Q4" s="309"/>
      <c r="R4" s="309"/>
      <c r="S4" s="309"/>
      <c r="T4" s="309"/>
      <c r="U4" s="309"/>
    </row>
    <row r="5" ht="1.5" customHeight="1">
      <c r="A5" s="312"/>
      <c r="B5" s="312"/>
      <c r="C5" s="312"/>
      <c r="D5" s="312"/>
      <c r="E5" s="312"/>
      <c r="F5" s="312"/>
      <c r="G5" s="312"/>
      <c r="H5" s="312"/>
      <c r="I5" s="312"/>
      <c r="J5" s="312"/>
      <c r="K5" s="312"/>
      <c r="L5" s="312"/>
      <c r="M5" s="312"/>
      <c r="N5" s="312"/>
      <c r="O5" s="312"/>
      <c r="P5" s="312"/>
      <c r="Q5" s="312"/>
      <c r="R5" s="312"/>
      <c r="S5" s="312"/>
      <c r="T5" s="312"/>
      <c r="U5" s="312"/>
    </row>
    <row r="6">
      <c r="H6" s="11" t="s">
        <v>361</v>
      </c>
      <c r="I6" s="100">
        <v>46203</v>
      </c>
    </row>
    <row r="7">
      <c r="I7" s="100"/>
    </row>
    <row r="8">
      <c r="C8" s="436" t="s">
        <v>421</v>
      </c>
      <c r="D8" s="436"/>
      <c r="E8" s="436"/>
      <c r="F8" s="436"/>
      <c r="G8" s="436"/>
      <c r="H8" s="436"/>
      <c r="I8" s="436"/>
      <c r="J8" s="436"/>
      <c r="K8" s="437"/>
      <c r="L8" s="437"/>
      <c r="N8" s="186" t="s">
        <v>422</v>
      </c>
      <c r="O8" s="186" t="s">
        <v>423</v>
      </c>
      <c r="P8" s="186" t="s">
        <v>424</v>
      </c>
      <c r="Q8" s="186" t="s">
        <v>425</v>
      </c>
      <c r="R8" s="186" t="s">
        <v>426</v>
      </c>
      <c r="S8" s="186" t="s">
        <v>427</v>
      </c>
      <c r="T8" s="186" t="s">
        <v>428</v>
      </c>
      <c r="U8"/>
    </row>
    <row r="9" ht="15.75" customHeight="1">
      <c r="B9" s="96"/>
      <c r="C9" s="101" t="s">
        <v>24</v>
      </c>
      <c r="D9" s="101" t="s">
        <v>429</v>
      </c>
      <c r="E9" s="101" t="s">
        <v>430</v>
      </c>
      <c r="F9" s="101" t="s">
        <v>431</v>
      </c>
      <c r="G9" s="101" t="s">
        <v>432</v>
      </c>
      <c r="H9" s="101" t="s">
        <v>433</v>
      </c>
      <c r="I9" s="101" t="s">
        <v>434</v>
      </c>
      <c r="J9" s="101" t="s">
        <v>435</v>
      </c>
      <c r="N9" s="187">
        <v>44372</v>
      </c>
      <c r="O9" s="188">
        <v>170.45</v>
      </c>
      <c r="P9" s="188">
        <v>3586.08</v>
      </c>
      <c r="Q9" s="188">
        <v>457.63</v>
      </c>
      <c r="R9" s="189"/>
      <c r="S9" s="189"/>
      <c r="T9" s="189"/>
      <c r="U9"/>
    </row>
    <row r="10" ht="15.75" customHeight="1">
      <c r="B10" s="15"/>
      <c r="C10" s="102" t="s">
        <v>436</v>
      </c>
      <c r="D10" s="33" t="s">
        <v>437</v>
      </c>
      <c r="E10" s="33">
        <v>0.57799999999999996</v>
      </c>
      <c r="F10" s="33">
        <v>1.1850000000000001</v>
      </c>
      <c r="G10" s="93">
        <v>0.27210000000000001</v>
      </c>
      <c r="H10" s="33">
        <v>1.0964</v>
      </c>
      <c r="I10" s="103" t="n">
        <f t="shared" ref="I10:I19" si="0">E10/(1+(1-G10)*H10)</f>
        <v>0.32145586180770447</v>
      </c>
      <c r="J10" s="103" t="n">
        <f t="shared" ref="J10:J18" si="1">F10/(1+(1-G10)*H10)</f>
        <v>0.659040131906799</v>
      </c>
      <c r="N10" s="187">
        <v>44379</v>
      </c>
      <c r="O10" s="188">
        <v>173.95</v>
      </c>
      <c r="P10" s="188">
        <v>3674.72</v>
      </c>
      <c r="Q10" s="188">
        <v>456.81</v>
      </c>
      <c r="R10" s="190" t="n">
        <f t="shared" ref="R10:T73" si="2">O10/O9-1</f>
        <v>0.02053388090349073</v>
      </c>
      <c r="S10" s="190">
        <f t="shared" si="2"/>
        <v>2.4717797706688138E-2</v>
      </c>
      <c r="T10" s="190">
        <f t="shared" si="2"/>
        <v>-1.7918405698926776E-3</v>
      </c>
      <c r="U10"/>
    </row>
    <row r="11" ht="15.75" customHeight="1">
      <c r="B11" s="15"/>
      <c r="C11" s="105" t="s">
        <v>438</v>
      </c>
      <c r="D11" s="33" t="s">
        <v>439</v>
      </c>
      <c r="E11" s="33">
        <v>0.64600000000000002</v>
      </c>
      <c r="F11" s="33">
        <v>1.2929999999999999</v>
      </c>
      <c r="G11" s="93">
        <v>0.1517</v>
      </c>
      <c r="H11" s="33">
        <v>1.0747</v>
      </c>
      <c r="I11" s="103">
        <f t="shared" si="0"/>
        <v>0.3379247843353303</v>
      </c>
      <c r="J11" s="103">
        <f t="shared" si="1"/>
        <v>0.67637267205198448</v>
      </c>
      <c r="N11" s="187">
        <v>44386</v>
      </c>
      <c r="O11" s="188">
        <v>176</v>
      </c>
      <c r="P11" s="188">
        <v>3681.79</v>
      </c>
      <c r="Q11" s="188">
        <v>457.67</v>
      </c>
      <c r="R11" s="190">
        <f t="shared" si="2"/>
        <v>1.1784995688416178E-2</v>
      </c>
      <c r="S11" s="190">
        <f t="shared" si="2"/>
        <v>1.9239561109418712E-3</v>
      </c>
      <c r="T11" s="190">
        <f t="shared" si="2"/>
        <v>1.882620783257849E-3</v>
      </c>
      <c r="U11"/>
    </row>
    <row r="12" ht="15.75" customHeight="1">
      <c r="B12" s="15"/>
      <c r="C12" s="102" t="s">
        <v>440</v>
      </c>
      <c r="D12" s="33" t="s">
        <v>441</v>
      </c>
      <c r="E12" s="33">
        <v>0.999</v>
      </c>
      <c r="F12" s="33">
        <v>1.1930000000000001</v>
      </c>
      <c r="G12" s="93">
        <v>0.3034</v>
      </c>
      <c r="H12" s="33">
        <v>0.49680000000000002</v>
      </c>
      <c r="I12" s="103">
        <f t="shared" si="0"/>
        <v>0.74216002652104018</v>
      </c>
      <c r="J12" s="103">
        <f t="shared" si="1"/>
        <v>0.88628319483443541</v>
      </c>
      <c r="N12" s="187">
        <v>44393</v>
      </c>
      <c r="O12" s="188">
        <v>175.85</v>
      </c>
      <c r="P12" s="188">
        <v>3663.67</v>
      </c>
      <c r="Q12" s="188">
        <v>454.74</v>
      </c>
      <c r="R12" s="190">
        <f t="shared" si="2"/>
        <v>-8.5227272727272929E-4</v>
      </c>
      <c r="S12" s="190">
        <f t="shared" si="2"/>
        <v>-4.9215191523688251E-3</v>
      </c>
      <c r="T12" s="190">
        <f t="shared" si="2"/>
        <v>-6.4019927021653489E-3</v>
      </c>
      <c r="U12"/>
    </row>
    <row r="13" ht="15.75" customHeight="1">
      <c r="B13" s="15"/>
      <c r="C13" s="102" t="s">
        <v>442</v>
      </c>
      <c r="D13" s="33" t="s">
        <v>443</v>
      </c>
      <c r="E13" s="33">
        <v>0.70299999999999996</v>
      </c>
      <c r="F13" s="33">
        <v>1.3120000000000001</v>
      </c>
      <c r="G13" s="93">
        <v>0.25819999999999999</v>
      </c>
      <c r="H13" s="33">
        <v>1.3036000000000001</v>
      </c>
      <c r="I13" s="103">
        <f t="shared" si="0"/>
        <v>0.35739514717786347</v>
      </c>
      <c r="J13" s="103">
        <f t="shared" si="1"/>
        <v>0.6670020385453157</v>
      </c>
      <c r="N13" s="187">
        <v>44400</v>
      </c>
      <c r="O13" s="188">
        <v>179.2</v>
      </c>
      <c r="P13" s="188">
        <v>3748.97</v>
      </c>
      <c r="Q13" s="188">
        <v>461.51</v>
      </c>
      <c r="R13" s="190">
        <f t="shared" si="2"/>
        <v>1.9050326983224286E-2</v>
      </c>
      <c r="S13" s="190">
        <f t="shared" si="2"/>
        <v>2.328266465047335E-2</v>
      </c>
      <c r="T13" s="190">
        <f t="shared" si="2"/>
        <v>1.4887628095175298E-2</v>
      </c>
      <c r="U13"/>
    </row>
    <row r="14" ht="15.75" customHeight="1">
      <c r="B14" s="15"/>
      <c r="C14" s="42" t="s">
        <v>444</v>
      </c>
      <c r="D14" s="33" t="s">
        <v>445</v>
      </c>
      <c r="E14" s="33">
        <v>1.016</v>
      </c>
      <c r="F14" s="33">
        <v>1.728</v>
      </c>
      <c r="G14" s="93">
        <v>0.25800000000000001</v>
      </c>
      <c r="H14" s="33">
        <v>0.85089999999999999</v>
      </c>
      <c r="I14" s="103">
        <f t="shared" si="0"/>
        <v>0.62279027451688085</v>
      </c>
      <c r="J14" s="103">
        <f t="shared" si="1"/>
        <v>1.0592338527216241</v>
      </c>
      <c r="N14" s="187">
        <v>44407</v>
      </c>
      <c r="O14" s="188">
        <v>183.85</v>
      </c>
      <c r="P14" s="188">
        <v>3706.27</v>
      </c>
      <c r="Q14" s="188">
        <v>461.74</v>
      </c>
      <c r="R14" s="190">
        <f t="shared" si="2"/>
        <v>2.5948660714285809E-2</v>
      </c>
      <c r="S14" s="190">
        <f t="shared" si="2"/>
        <v>-1.1389795063710739E-2</v>
      </c>
      <c r="T14" s="190">
        <f t="shared" si="2"/>
        <v>4.9836406578407377E-4</v>
      </c>
      <c r="U14"/>
    </row>
    <row r="15" ht="15.75" customHeight="1">
      <c r="B15" s="15"/>
      <c r="C15" s="42" t="s">
        <v>446</v>
      </c>
      <c r="D15" s="33" t="s">
        <v>447</v>
      </c>
      <c r="E15" s="33">
        <v>1.391</v>
      </c>
      <c r="F15" s="33">
        <v>1.7989999999999999</v>
      </c>
      <c r="G15" s="93">
        <v>0.25</v>
      </c>
      <c r="H15" s="179">
        <v>4.8360000000000003</v>
      </c>
      <c r="I15" s="103">
        <f t="shared" si="0"/>
        <v>0.30062675599740651</v>
      </c>
      <c r="J15" s="103">
        <f t="shared" si="1"/>
        <v>0.38880484114977298</v>
      </c>
      <c r="N15" s="187">
        <v>44414</v>
      </c>
      <c r="O15" s="188">
        <v>187.55</v>
      </c>
      <c r="P15" s="188">
        <v>3773.83</v>
      </c>
      <c r="Q15" s="188">
        <v>469.97</v>
      </c>
      <c r="R15" s="190" t="n">
        <f>O15/O14-1</f>
        <v>0.020125101985314142</v>
      </c>
      <c r="S15" s="190">
        <f t="shared" si="2"/>
        <v>1.8228569424245888E-2</v>
      </c>
      <c r="T15" s="190">
        <f t="shared" si="2"/>
        <v>1.7823883570840859E-2</v>
      </c>
      <c r="U15"/>
    </row>
    <row r="16" ht="15.75" customHeight="1">
      <c r="B16" s="15"/>
      <c r="C16" s="42" t="s">
        <v>448</v>
      </c>
      <c r="D16" s="33" t="s">
        <v>449</v>
      </c>
      <c r="E16" s="33">
        <v>0.94799999999999995</v>
      </c>
      <c r="F16" s="33">
        <v>1.611</v>
      </c>
      <c r="G16" s="93">
        <v>0.20599999999999999</v>
      </c>
      <c r="H16" s="33">
        <v>0.25419999999999998</v>
      </c>
      <c r="I16" s="103">
        <f t="shared" si="0"/>
        <v>0.78879393407479959</v>
      </c>
      <c r="J16" s="103">
        <f t="shared" si="1"/>
        <v>1.3404504512600233</v>
      </c>
      <c r="N16" s="187">
        <v>44421</v>
      </c>
      <c r="O16" s="188">
        <v>192.1</v>
      </c>
      <c r="P16" s="188">
        <v>3786.44</v>
      </c>
      <c r="Q16" s="188">
        <v>475.83</v>
      </c>
      <c r="R16" s="190">
        <f t="shared" si="2"/>
        <v>2.4260197280725038E-2</v>
      </c>
      <c r="S16" s="190">
        <f t="shared" si="2"/>
        <v>3.3414329739283044E-3</v>
      </c>
      <c r="T16" s="190">
        <f t="shared" si="2"/>
        <v>1.2468880992403619E-2</v>
      </c>
      <c r="U16"/>
    </row>
    <row r="17" ht="15.75" customHeight="1">
      <c r="C17" s="42" t="s">
        <v>450</v>
      </c>
      <c r="D17" s="33" t="s">
        <v>451</v>
      </c>
      <c r="E17" s="33">
        <v>0.98199999999999998</v>
      </c>
      <c r="F17" s="33">
        <v>1.415</v>
      </c>
      <c r="G17" s="93">
        <v>0.33169999999999999</v>
      </c>
      <c r="H17" s="33">
        <v>0.1245</v>
      </c>
      <c r="I17" s="103">
        <f t="shared" si="0"/>
        <v>0.90657031295185708</v>
      </c>
      <c r="J17" s="103">
        <f t="shared" si="1"/>
        <v>1.3063105833267594</v>
      </c>
      <c r="N17" s="187">
        <v>44428</v>
      </c>
      <c r="O17" s="188">
        <v>181.5</v>
      </c>
      <c r="P17" s="188">
        <v>3795.33</v>
      </c>
      <c r="Q17" s="188">
        <v>468.8</v>
      </c>
      <c r="R17" s="190">
        <f t="shared" si="2"/>
        <v>-5.5179593961478424E-2</v>
      </c>
      <c r="S17" s="190">
        <f t="shared" si="2"/>
        <v>2.3478518080306543E-3</v>
      </c>
      <c r="T17" s="190">
        <f t="shared" si="2"/>
        <v>-1.477418405733133E-2</v>
      </c>
      <c r="U17"/>
    </row>
    <row r="18" ht="15.75" customHeight="1">
      <c r="C18" s="42" t="s">
        <v>452</v>
      </c>
      <c r="D18" s="33" t="s">
        <v>453</v>
      </c>
      <c r="E18" s="33">
        <v>0.88</v>
      </c>
      <c r="F18" s="33">
        <v>1.429</v>
      </c>
      <c r="G18" s="93">
        <v>0.32790000000000002</v>
      </c>
      <c r="H18" s="33">
        <v>0.52739999999999998</v>
      </c>
      <c r="I18" s="103">
        <f t="shared" si="0"/>
        <v>0.64970276024888751</v>
      </c>
      <c r="J18" s="103">
        <f t="shared" si="1"/>
        <v>1.0550286868132503</v>
      </c>
      <c r="N18" s="187">
        <v>44435</v>
      </c>
      <c r="O18" s="188">
        <v>183.1</v>
      </c>
      <c r="P18" s="188">
        <v>3821.18</v>
      </c>
      <c r="Q18" s="188">
        <v>472.34</v>
      </c>
      <c r="R18" s="190">
        <f t="shared" si="2"/>
        <v>8.8154269972451349E-3</v>
      </c>
      <c r="S18" s="190">
        <f t="shared" si="2"/>
        <v>6.8110019418601286E-3</v>
      </c>
      <c r="T18" s="190">
        <f t="shared" si="2"/>
        <v>7.5511945392490176E-3</v>
      </c>
      <c r="U18"/>
    </row>
    <row r="19" ht="15.75" customHeight="1">
      <c r="C19" s="102" t="s">
        <v>454</v>
      </c>
      <c r="D19" s="33" t="s">
        <v>455</v>
      </c>
      <c r="E19" s="33"/>
      <c r="F19" s="112"/>
      <c r="G19" s="112">
        <v>0.22500000000000001</v>
      </c>
      <c r="H19" s="113">
        <v>0.73680000000000001</v>
      </c>
      <c r="I19" s="103">
        <f t="shared" si="0"/>
        <v>0</v>
      </c>
      <c r="J19" s="33"/>
      <c r="N19" s="187">
        <v>44442</v>
      </c>
      <c r="O19" s="188">
        <v>184.3</v>
      </c>
      <c r="P19" s="188">
        <v>3814.49</v>
      </c>
      <c r="Q19" s="188">
        <v>471.93</v>
      </c>
      <c r="R19" s="190">
        <f t="shared" si="2"/>
        <v>6.5537957400327862E-3</v>
      </c>
      <c r="S19" s="190">
        <f t="shared" si="2"/>
        <v>-1.7507680873447562E-3</v>
      </c>
      <c r="T19" s="190">
        <f t="shared" si="2"/>
        <v>-8.680188000168565E-4</v>
      </c>
      <c r="U19"/>
    </row>
    <row r="20" ht="15.75" customHeight="1">
      <c r="C20" s="52"/>
      <c r="F20" s="115"/>
      <c r="G20" s="115"/>
      <c r="H20" s="116"/>
      <c r="N20" s="187">
        <v>44449</v>
      </c>
      <c r="O20" s="188">
        <v>186</v>
      </c>
      <c r="P20" s="188">
        <v>3772.38</v>
      </c>
      <c r="Q20" s="188">
        <v>466.34</v>
      </c>
      <c r="R20" s="190">
        <f t="shared" si="2"/>
        <v>9.2240911557242011E-3</v>
      </c>
      <c r="S20" s="190">
        <f t="shared" si="2"/>
        <v>-1.1039483653122573E-2</v>
      </c>
      <c r="T20" s="190">
        <f t="shared" si="2"/>
        <v>-1.1844977009302315E-2</v>
      </c>
      <c r="U20"/>
    </row>
    <row r="21" ht="15.75" customHeight="1">
      <c r="C21" s="357" t="s">
        <v>456</v>
      </c>
      <c r="D21" s="357"/>
      <c r="E21" s="357"/>
      <c r="G21" s="360" t="s">
        <v>457</v>
      </c>
      <c r="H21" s="360"/>
      <c r="I21" s="360"/>
      <c r="J21" s="360"/>
      <c r="N21" s="187">
        <v>44456</v>
      </c>
      <c r="O21" s="188">
        <v>184.4</v>
      </c>
      <c r="P21" s="188">
        <v>3780.48</v>
      </c>
      <c r="Q21" s="188">
        <v>461.84</v>
      </c>
      <c r="R21" s="190">
        <f t="shared" si="2"/>
        <v>-8.6021505376343566E-3</v>
      </c>
      <c r="S21" s="190">
        <f t="shared" si="2"/>
        <v>2.1471855963608455E-3</v>
      </c>
      <c r="T21" s="190">
        <f t="shared" si="2"/>
        <v>-9.6496118711669743E-3</v>
      </c>
      <c r="U21"/>
    </row>
    <row r="22" ht="15.75" customHeight="1">
      <c r="C22" s="117" t="s">
        <v>458</v>
      </c>
      <c r="D22" s="117" t="s">
        <v>459</v>
      </c>
      <c r="E22" s="117" t="s">
        <v>460</v>
      </c>
      <c r="F22" s="118"/>
      <c r="G22" s="361" t="s">
        <v>461</v>
      </c>
      <c r="H22" s="33" t="s">
        <v>462</v>
      </c>
      <c r="I22" s="103" t="n">
        <f>MEDIAN(I10:I13)</f>
        <v>0.34765996575659686</v>
      </c>
      <c r="J22" s="103" t="n">
        <f>MEDIAN(J10:J13)</f>
        <v>0.6716873552986501</v>
      </c>
      <c r="L22" s="119"/>
      <c r="N22" s="187">
        <v>44463</v>
      </c>
      <c r="O22" s="188">
        <v>184.75</v>
      </c>
      <c r="P22" s="188">
        <v>3802.9</v>
      </c>
      <c r="Q22" s="188">
        <v>463.29</v>
      </c>
      <c r="R22" s="190">
        <f t="shared" si="2"/>
        <v>1.8980477223426995E-3</v>
      </c>
      <c r="S22" s="190">
        <f t="shared" si="2"/>
        <v>5.9304638564414702E-3</v>
      </c>
      <c r="T22" s="190">
        <f t="shared" si="2"/>
        <v>3.1396154512386421E-3</v>
      </c>
      <c r="U22"/>
    </row>
    <row r="23" ht="15.75" customHeight="1">
      <c r="C23" s="33" t="s">
        <v>463</v>
      </c>
      <c r="D23" s="33">
        <v>256.89999999999998</v>
      </c>
      <c r="E23" s="33">
        <v>143.19999999999999</v>
      </c>
      <c r="F23" s="118"/>
      <c r="G23" s="361"/>
      <c r="H23" s="33" t="s">
        <v>464</v>
      </c>
      <c r="I23" s="103" t="n">
        <f>AVERAGE(I10:I13)</f>
        <v>0.4397339549604846</v>
      </c>
      <c r="J23" s="103" t="n">
        <f>AVERAGE(J10:J13)</f>
        <v>0.7221745093346337</v>
      </c>
      <c r="N23" s="187">
        <v>44470</v>
      </c>
      <c r="O23" s="188">
        <v>179.75</v>
      </c>
      <c r="P23" s="188">
        <v>3757.04</v>
      </c>
      <c r="Q23" s="188">
        <v>452.9</v>
      </c>
      <c r="R23" s="190">
        <f t="shared" si="2"/>
        <v>-2.7063599458728049E-2</v>
      </c>
      <c r="S23" s="190">
        <f t="shared" si="2"/>
        <v>-1.2059217965237123E-2</v>
      </c>
      <c r="T23" s="190">
        <f t="shared" si="2"/>
        <v>-2.2426557879513975E-2</v>
      </c>
      <c r="U23"/>
    </row>
    <row r="24" ht="15.75" customHeight="1">
      <c r="C24" s="33" t="s">
        <v>465</v>
      </c>
      <c r="D24" s="120" t="n">
        <f>D23/(D23+E23)</f>
        <v>0.6420894776305923</v>
      </c>
      <c r="E24" s="120" t="n">
        <f>E23/(D23+E23)</f>
        <v>0.3579105223694076</v>
      </c>
      <c r="F24" s="52"/>
      <c r="G24" s="359" t="s">
        <v>466</v>
      </c>
      <c r="H24" s="33" t="s">
        <v>462</v>
      </c>
      <c r="I24" s="103" t="n">
        <f>MEDIAN(I10:I16)</f>
        <v>0.35739514717786347</v>
      </c>
      <c r="J24" s="103" t="n">
        <f>MEDIAN(J10:J16)</f>
        <v>0.6763726720519845</v>
      </c>
      <c r="N24" s="187">
        <v>44477</v>
      </c>
      <c r="O24" s="188">
        <v>184.5</v>
      </c>
      <c r="P24" s="188">
        <v>3797.42</v>
      </c>
      <c r="Q24" s="188">
        <v>457.29</v>
      </c>
      <c r="R24" s="190">
        <f t="shared" si="2"/>
        <v>2.6425591098748313E-2</v>
      </c>
      <c r="S24" s="190">
        <f t="shared" si="2"/>
        <v>1.0747822754082925E-2</v>
      </c>
      <c r="T24" s="190">
        <f t="shared" si="2"/>
        <v>9.6930889821154054E-3</v>
      </c>
      <c r="U24"/>
    </row>
    <row r="25" ht="15.75" customHeight="1">
      <c r="F25" s="52"/>
      <c r="G25" s="359"/>
      <c r="H25" s="33" t="s">
        <v>464</v>
      </c>
      <c r="I25" s="103" t="n">
        <f>AVERAGE(I10:I16)</f>
        <v>0.4958781120615751</v>
      </c>
      <c r="J25" s="103" t="n">
        <f>AVERAGE(J10:J16)</f>
        <v>0.8110267403528508</v>
      </c>
      <c r="N25" s="187">
        <v>44484</v>
      </c>
      <c r="O25" s="188">
        <v>192.15</v>
      </c>
      <c r="P25" s="188">
        <v>3856.29</v>
      </c>
      <c r="Q25" s="188">
        <v>469.39</v>
      </c>
      <c r="R25" s="190">
        <f t="shared" si="2"/>
        <v>4.1463414634146378E-2</v>
      </c>
      <c r="S25" s="190">
        <f t="shared" si="2"/>
        <v>1.5502630733498002E-2</v>
      </c>
      <c r="T25" s="190">
        <f t="shared" si="2"/>
        <v>2.6460233112466813E-2</v>
      </c>
      <c r="U25"/>
    </row>
    <row r="26" ht="15.75" customHeight="1">
      <c r="F26" s="52"/>
      <c r="G26" s="359" t="s">
        <v>467</v>
      </c>
      <c r="H26" s="33" t="s">
        <v>462</v>
      </c>
      <c r="I26" s="103" t="n">
        <f>MEDIAN(I10:I18)</f>
        <v>0.6227902745168808</v>
      </c>
      <c r="J26" s="103" t="n">
        <f>MEDIAN(J10:J18)</f>
        <v>0.8862831948344354</v>
      </c>
      <c r="N26" s="187">
        <v>44491</v>
      </c>
      <c r="O26" s="188">
        <v>191.65</v>
      </c>
      <c r="P26" s="188">
        <v>3907.24</v>
      </c>
      <c r="Q26" s="188">
        <v>471.88</v>
      </c>
      <c r="R26" s="190">
        <f t="shared" si="2"/>
        <v>-2.6021337496747732E-3</v>
      </c>
      <c r="S26" s="190">
        <f t="shared" si="2"/>
        <v>1.3212180619196046E-2</v>
      </c>
      <c r="T26" s="190">
        <f t="shared" si="2"/>
        <v>5.304757238117519E-3</v>
      </c>
      <c r="U26"/>
    </row>
    <row r="27" ht="15.75" customHeight="1">
      <c r="F27" s="52"/>
      <c r="G27" s="359"/>
      <c r="H27" s="33" t="s">
        <v>464</v>
      </c>
      <c r="I27" s="103" t="n">
        <f>AVERAGE(I10:I18)</f>
        <v>0.55860220640353</v>
      </c>
      <c r="J27" s="103" t="n">
        <f>AVERAGE(J10:J18)</f>
        <v>0.8931696058455516</v>
      </c>
      <c r="N27" s="187">
        <v>44498</v>
      </c>
      <c r="O27" s="188">
        <v>205</v>
      </c>
      <c r="P27" s="188">
        <v>3991.14</v>
      </c>
      <c r="Q27" s="188">
        <v>475.51</v>
      </c>
      <c r="R27" s="190">
        <f t="shared" si="2"/>
        <v>6.9658231150534711E-2</v>
      </c>
      <c r="S27" s="190">
        <f t="shared" si="2"/>
        <v>2.1472957893551525E-2</v>
      </c>
      <c r="T27" s="190">
        <f t="shared" si="2"/>
        <v>7.6926337204374917E-3</v>
      </c>
      <c r="U27"/>
    </row>
    <row r="28" ht="15.75" customHeight="1">
      <c r="A28" s="180"/>
      <c r="N28" s="187">
        <v>44505</v>
      </c>
      <c r="O28" s="188">
        <v>228.8</v>
      </c>
      <c r="P28" s="188">
        <v>4064.66</v>
      </c>
      <c r="Q28" s="188">
        <v>483.44</v>
      </c>
      <c r="R28" s="190">
        <f t="shared" si="2"/>
        <v>0.11609756097560986</v>
      </c>
      <c r="S28" s="190">
        <f t="shared" si="2"/>
        <v>1.8420802076599685E-2</v>
      </c>
      <c r="T28" s="190">
        <f t="shared" si="2"/>
        <v>1.66768311917731E-2</v>
      </c>
      <c r="U28"/>
    </row>
    <row r="29" ht="15.75" customHeight="1">
      <c r="A29" s="180"/>
      <c r="C29" s="47"/>
      <c r="F29" s="122"/>
      <c r="G29" s="362" t="s">
        <v>468</v>
      </c>
      <c r="H29" s="362"/>
      <c r="I29" s="362"/>
      <c r="J29" s="362"/>
      <c r="K29" s="128" t="s">
        <v>469</v>
      </c>
      <c r="L29" s="191"/>
      <c r="N29" s="187">
        <v>44512</v>
      </c>
      <c r="O29" s="188">
        <v>228</v>
      </c>
      <c r="P29" s="188">
        <v>4090.18</v>
      </c>
      <c r="Q29" s="188">
        <v>486.75</v>
      </c>
      <c r="R29" s="190">
        <f t="shared" si="2"/>
        <v>-3.4965034965035446E-3</v>
      </c>
      <c r="S29" s="190">
        <f t="shared" si="2"/>
        <v>6.2785079194815907E-3</v>
      </c>
      <c r="T29" s="190">
        <f t="shared" si="2"/>
        <v>6.8467648518948376E-3</v>
      </c>
      <c r="U29"/>
      <c r="X29" s="123"/>
      <c r="Y29" s="123"/>
      <c r="Z29" s="123"/>
      <c r="AA29" s="123"/>
      <c r="AB29" s="11"/>
      <c r="AC29" s="11"/>
    </row>
    <row r="30" ht="15.75" customHeight="1">
      <c r="A30" s="180"/>
      <c r="C30" s="47"/>
      <c r="F30" s="118"/>
      <c r="G30" s="361" t="s">
        <v>461</v>
      </c>
      <c r="H30" s="33" t="s">
        <v>462</v>
      </c>
      <c r="I30" s="103" t="n">
        <f t="shared" ref="I30:J35" si="3">I22*(1+(1-$G$19)*$H$19)</f>
        <v>0.5461807594029288</v>
      </c>
      <c r="J30" s="103">
        <f t="shared" si="3"/>
        <v>1.0552342689212852</v>
      </c>
      <c r="K30" s="124" t="n">
        <f>(I30*$D$24)+(J30*$E$24)</f>
        <v>0.728376366908624</v>
      </c>
      <c r="L30" s="192"/>
      <c r="N30" s="187">
        <v>44519</v>
      </c>
      <c r="O30" s="188">
        <v>239.7</v>
      </c>
      <c r="P30" s="188">
        <v>4158.22</v>
      </c>
      <c r="Q30" s="188">
        <v>486.08</v>
      </c>
      <c r="R30" s="190">
        <f t="shared" si="2"/>
        <v>5.1315789473684204E-2</v>
      </c>
      <c r="S30" s="190">
        <f t="shared" si="2"/>
        <v>1.6634964720379175E-2</v>
      </c>
      <c r="T30" s="190">
        <f t="shared" si="2"/>
        <v>-1.3764766307139409E-3</v>
      </c>
      <c r="U30"/>
      <c r="X30" s="123"/>
      <c r="Y30" s="123"/>
      <c r="AA30" s="123"/>
      <c r="AB30" s="11"/>
      <c r="AC30" s="11"/>
    </row>
    <row r="31" ht="15.75" customHeight="1">
      <c r="A31" s="180"/>
      <c r="F31" s="118"/>
      <c r="G31" s="361"/>
      <c r="H31" s="33" t="s">
        <v>464</v>
      </c>
      <c r="I31" s="103">
        <f t="shared" si="3"/>
        <v>0.69083083792202049</v>
      </c>
      <c r="J31" s="103">
        <f t="shared" si="3"/>
        <v>1.1345505976548962</v>
      </c>
      <c r="K31" s="124" t="n">
        <f t="shared" ref="K31:K35" si="4">(I31*$D$24)+(J31*$E$24)</f>
        <v>0.8496428089136421</v>
      </c>
      <c r="L31" s="192"/>
      <c r="N31" s="187">
        <v>44526</v>
      </c>
      <c r="O31" s="188">
        <v>231.4</v>
      </c>
      <c r="P31" s="188">
        <v>4064.6</v>
      </c>
      <c r="Q31" s="188">
        <v>464.05</v>
      </c>
      <c r="R31" s="190">
        <f t="shared" si="2"/>
        <v>-3.4626616604088389E-2</v>
      </c>
      <c r="S31" s="190">
        <f t="shared" si="2"/>
        <v>-2.2514441275353514E-2</v>
      </c>
      <c r="T31" s="190">
        <f t="shared" si="2"/>
        <v>-4.5321757735352186E-2</v>
      </c>
      <c r="U31"/>
      <c r="X31" s="123"/>
      <c r="Y31" s="123"/>
      <c r="AA31" s="123"/>
      <c r="AB31" s="11"/>
      <c r="AC31" s="185"/>
    </row>
    <row r="32" ht="15.75" customHeight="1">
      <c r="A32" s="180"/>
      <c r="F32" s="52"/>
      <c r="G32" s="359" t="s">
        <v>466</v>
      </c>
      <c r="H32" s="33" t="s">
        <v>462</v>
      </c>
      <c r="I32" s="103" t="n">
        <f>I24*(1+(1-$G$19)*$H$19)</f>
        <v>0.5614749241193671</v>
      </c>
      <c r="J32" s="103">
        <f t="shared" si="3"/>
        <v>1.0625949952471085</v>
      </c>
      <c r="K32" s="431">
        <f t="shared" si="4"/>
        <v>0.74083107054649167</v>
      </c>
      <c r="L32" s="192"/>
      <c r="N32" s="187">
        <v>44533</v>
      </c>
      <c r="O32" s="188">
        <v>229.3</v>
      </c>
      <c r="P32" s="188">
        <v>4012.4</v>
      </c>
      <c r="Q32" s="188">
        <v>462.77</v>
      </c>
      <c r="R32" s="190">
        <f t="shared" si="2"/>
        <v>-9.0751944684528407E-3</v>
      </c>
      <c r="S32" s="190">
        <f t="shared" si="2"/>
        <v>-1.2842592136987574E-2</v>
      </c>
      <c r="T32" s="190">
        <f t="shared" si="2"/>
        <v>-2.7583234565241588E-3</v>
      </c>
      <c r="U32"/>
      <c r="X32" s="123"/>
      <c r="Y32" s="123"/>
      <c r="AA32" s="123"/>
      <c r="AB32" s="11"/>
      <c r="AC32" s="11"/>
    </row>
    <row r="33" ht="15.75" customHeight="1">
      <c r="A33" s="180"/>
      <c r="F33" s="52"/>
      <c r="G33" s="359"/>
      <c r="H33" s="33" t="s">
        <v>464</v>
      </c>
      <c r="I33" s="103">
        <f t="shared" si="3"/>
        <v>0.77903443161097563</v>
      </c>
      <c r="J33" s="103">
        <f t="shared" si="3"/>
        <v>1.2741392296291356</v>
      </c>
      <c r="K33" s="124">
        <f t="shared" si="4"/>
        <v>0.95623764849725523</v>
      </c>
      <c r="L33" s="192"/>
      <c r="N33" s="187">
        <v>44540</v>
      </c>
      <c r="O33" s="188">
        <v>229.2</v>
      </c>
      <c r="P33" s="188">
        <v>4162.93</v>
      </c>
      <c r="Q33" s="188">
        <v>475.56</v>
      </c>
      <c r="R33" s="190">
        <f t="shared" si="2"/>
        <v>-4.3610989969478098E-4</v>
      </c>
      <c r="S33" s="190">
        <f t="shared" si="2"/>
        <v>3.7516199780679882E-2</v>
      </c>
      <c r="T33" s="190">
        <f t="shared" si="2"/>
        <v>2.7637919484841289E-2</v>
      </c>
      <c r="U33"/>
      <c r="X33" s="123"/>
      <c r="Y33" s="123"/>
      <c r="AA33" s="123"/>
      <c r="AB33" s="11"/>
      <c r="AC33" s="11"/>
    </row>
    <row r="34" ht="15.75" customHeight="1">
      <c r="A34" s="180"/>
      <c r="F34" s="52"/>
      <c r="G34" s="359" t="s">
        <v>467</v>
      </c>
      <c r="H34" s="33" t="s">
        <v>462</v>
      </c>
      <c r="I34" s="103">
        <f t="shared" si="3"/>
        <v>0.97841597707151007</v>
      </c>
      <c r="J34" s="103">
        <f t="shared" si="3"/>
        <v>1.3923686247487945</v>
      </c>
      <c r="K34" s="124">
        <f t="shared" si="4"/>
        <v>1.1265739854378862</v>
      </c>
      <c r="L34" s="192"/>
      <c r="N34" s="187">
        <v>44547</v>
      </c>
      <c r="O34" s="188">
        <v>227.3</v>
      </c>
      <c r="P34" s="188">
        <v>4100.67</v>
      </c>
      <c r="Q34" s="188">
        <v>473.9</v>
      </c>
      <c r="R34" s="190">
        <f t="shared" si="2"/>
        <v>-8.2897033158811917E-3</v>
      </c>
      <c r="S34" s="190">
        <f t="shared" si="2"/>
        <v>-1.4955812372535737E-2</v>
      </c>
      <c r="T34" s="190">
        <f t="shared" si="2"/>
        <v>-3.4906215829758613E-3</v>
      </c>
      <c r="U34"/>
      <c r="X34" s="123"/>
      <c r="Y34" s="123"/>
      <c r="AA34" s="123"/>
      <c r="AB34" s="11"/>
      <c r="AC34" s="11"/>
    </row>
    <row r="35" ht="15.75" customHeight="1">
      <c r="F35" s="52"/>
      <c r="G35" s="359"/>
      <c r="H35" s="33" t="s">
        <v>464</v>
      </c>
      <c r="I35" s="103">
        <f t="shared" si="3"/>
        <v>0.87757523830407358</v>
      </c>
      <c r="J35" s="103">
        <f t="shared" si="3"/>
        <v>1.4031873141754783</v>
      </c>
      <c r="K35" s="124">
        <f t="shared" si="4"/>
        <v>1.0656973309428768</v>
      </c>
      <c r="L35" s="192"/>
      <c r="N35" s="187">
        <v>44554</v>
      </c>
      <c r="O35" s="188">
        <v>223.7</v>
      </c>
      <c r="P35" s="188">
        <v>4168.47</v>
      </c>
      <c r="Q35" s="188">
        <v>482.51</v>
      </c>
      <c r="R35" s="190">
        <f t="shared" si="2"/>
        <v>-1.5838099428068686E-2</v>
      </c>
      <c r="S35" s="190">
        <f t="shared" si="2"/>
        <v>1.6533883487332535E-2</v>
      </c>
      <c r="T35" s="190">
        <f t="shared" si="2"/>
        <v>1.8168389955686814E-2</v>
      </c>
      <c r="U35"/>
      <c r="X35" s="123"/>
      <c r="Y35" s="123"/>
      <c r="AA35" s="123"/>
      <c r="AB35" s="11"/>
      <c r="AC35" s="11"/>
    </row>
    <row r="36" ht="15.75" customHeight="1">
      <c r="N36" s="187">
        <v>44561</v>
      </c>
      <c r="O36" s="188">
        <v>227.5</v>
      </c>
      <c r="P36" s="188">
        <v>4186</v>
      </c>
      <c r="Q36" s="188">
        <v>487.8</v>
      </c>
      <c r="R36" s="190">
        <f t="shared" si="2"/>
        <v>1.6987036209208828E-2</v>
      </c>
      <c r="S36" s="190">
        <f t="shared" si="2"/>
        <v>4.2053799115742141E-3</v>
      </c>
      <c r="T36" s="190">
        <f t="shared" si="2"/>
        <v>1.0963503347080961E-2</v>
      </c>
      <c r="U36"/>
    </row>
    <row r="37" ht="15.75" customHeight="1">
      <c r="N37" s="187">
        <v>44568</v>
      </c>
      <c r="O37" s="188">
        <v>225.1</v>
      </c>
      <c r="P37" s="188">
        <v>4118.1899999999996</v>
      </c>
      <c r="Q37" s="188">
        <v>486.25</v>
      </c>
      <c r="R37" s="190">
        <f t="shared" si="2"/>
        <v>-1.0549450549450556E-2</v>
      </c>
      <c r="S37" s="190">
        <f t="shared" si="2"/>
        <v>-1.6199235547061708E-2</v>
      </c>
      <c r="T37" s="190">
        <f t="shared" si="2"/>
        <v>-3.1775317753177656E-3</v>
      </c>
      <c r="U37"/>
    </row>
    <row r="38" ht="15.75" customHeight="1">
      <c r="N38" s="187">
        <v>44575</v>
      </c>
      <c r="O38" s="188">
        <v>213.4</v>
      </c>
      <c r="P38" s="188">
        <v>4089.5</v>
      </c>
      <c r="Q38" s="188">
        <v>481.16</v>
      </c>
      <c r="R38" s="190">
        <f t="shared" si="2"/>
        <v>-5.1976899155930623E-2</v>
      </c>
      <c r="S38" s="190">
        <f t="shared" si="2"/>
        <v>-6.9666528256344673E-3</v>
      </c>
      <c r="T38" s="190">
        <f t="shared" si="2"/>
        <v>-1.0467866323907393E-2</v>
      </c>
      <c r="U38"/>
    </row>
    <row r="39" ht="15.75" customHeight="1">
      <c r="C39" s="358" t="s">
        <v>470</v>
      </c>
      <c r="D39" s="358"/>
      <c r="E39" s="358"/>
      <c r="F39" s="358"/>
      <c r="N39" s="187">
        <v>44582</v>
      </c>
      <c r="O39" s="188">
        <v>207.6</v>
      </c>
      <c r="P39" s="188">
        <v>3876.2</v>
      </c>
      <c r="Q39" s="188">
        <v>474.44</v>
      </c>
      <c r="R39" s="190">
        <f t="shared" si="2"/>
        <v>-2.7179006560449914E-2</v>
      </c>
      <c r="S39" s="190">
        <f t="shared" si="2"/>
        <v>-5.2157965521457461E-2</v>
      </c>
      <c r="T39" s="190">
        <f t="shared" si="2"/>
        <v>-1.3966248233435952E-2</v>
      </c>
      <c r="U39"/>
    </row>
    <row r="40">
      <c r="C40" s="193" t="s">
        <v>471</v>
      </c>
      <c r="D40" s="194" t="s">
        <v>472</v>
      </c>
      <c r="E40" s="194" t="s">
        <v>473</v>
      </c>
      <c r="F40" s="194" t="s">
        <v>474</v>
      </c>
      <c r="N40" s="187">
        <v>44589</v>
      </c>
      <c r="O40" s="188">
        <v>200.5</v>
      </c>
      <c r="P40" s="188">
        <v>3974.4</v>
      </c>
      <c r="Q40" s="188">
        <v>465.55</v>
      </c>
      <c r="R40" s="190">
        <f t="shared" si="2"/>
        <v>-3.4200385356454643E-2</v>
      </c>
      <c r="S40" s="190">
        <f t="shared" si="2"/>
        <v>2.5334090088230843E-2</v>
      </c>
      <c r="T40" s="190">
        <f t="shared" si="2"/>
        <v>-1.8737880448528754E-2</v>
      </c>
      <c r="U40"/>
    </row>
    <row r="41" ht="15.75" customHeight="1">
      <c r="C41" s="195" t="s">
        <v>475</v>
      </c>
      <c r="D41" s="196" t="n">
        <f>SLOPE($R$10:$R$270,S10:S270)</f>
        <v>0.7434275978410593</v>
      </c>
      <c r="E41" s="196" t="n">
        <f>SLOPE($R$10:$R$270,T10:T270)</f>
        <v>1.103681480100199</v>
      </c>
      <c r="F41" s="197" t="n">
        <f>D41*$D$24+E41*$E$24</f>
        <v>0.872366253026035</v>
      </c>
      <c r="H41" s="185"/>
      <c r="N41" s="187">
        <v>44596</v>
      </c>
      <c r="O41" s="188">
        <v>200</v>
      </c>
      <c r="P41" s="188">
        <v>3929.22</v>
      </c>
      <c r="Q41" s="188">
        <v>462.15</v>
      </c>
      <c r="R41" s="190">
        <f t="shared" si="2"/>
        <v>-2.4937655860348684E-3</v>
      </c>
      <c r="S41" s="190">
        <f t="shared" si="2"/>
        <v>-1.1367753623188426E-2</v>
      </c>
      <c r="T41" s="190">
        <f t="shared" si="2"/>
        <v>-7.3031897755343467E-3</v>
      </c>
      <c r="U41"/>
    </row>
    <row r="42" ht="15.75" customHeight="1">
      <c r="C42" s="198" t="s">
        <v>476</v>
      </c>
      <c r="D42" s="199" t="n">
        <f>INTERCEPT($R$10:$R$270,S10:S270)</f>
        <v>0.0013713291737089664</v>
      </c>
      <c r="E42" s="199" t="n">
        <f>INTERCEPT($R$10:$R$270,T10:T270)</f>
        <v>0.001622308429911325</v>
      </c>
      <c r="F42" s="212" t="n">
        <f t="shared" ref="F42:F44" si="5">D42*$D$24+E42*$E$24</f>
        <v>0.0014611572904002377</v>
      </c>
      <c r="N42" s="187">
        <v>44603</v>
      </c>
      <c r="O42" s="188">
        <v>194.95</v>
      </c>
      <c r="P42" s="188">
        <v>3877.02</v>
      </c>
      <c r="Q42" s="188">
        <v>469.57</v>
      </c>
      <c r="R42" s="190">
        <f t="shared" si="2"/>
        <v>-2.5250000000000106E-2</v>
      </c>
      <c r="S42" s="190">
        <f t="shared" si="2"/>
        <v>-1.3285079481423767E-2</v>
      </c>
      <c r="T42" s="190">
        <f t="shared" si="2"/>
        <v>1.605539327058314E-2</v>
      </c>
    </row>
    <row r="43" ht="15.75" customHeight="1">
      <c r="C43" s="200" t="s">
        <v>477</v>
      </c>
      <c r="D43" s="201" t="n">
        <f>CORREL($R$10:$R$270,S10:S270)</f>
        <v>0.40070974960980993</v>
      </c>
      <c r="E43" s="201" t="n">
        <f>CORREL($R$10:$R$270,T10:T270)</f>
        <v>0.5354220562503244</v>
      </c>
      <c r="F43" s="212">
        <f t="shared" si="5"/>
        <v>0.44892470164910403</v>
      </c>
      <c r="N43" s="187">
        <v>44610</v>
      </c>
      <c r="O43" s="188">
        <v>194.5</v>
      </c>
      <c r="P43" s="188">
        <v>3841.08</v>
      </c>
      <c r="Q43" s="188">
        <v>460.81</v>
      </c>
      <c r="R43" s="190">
        <f t="shared" si="2"/>
        <v>-2.308284175429498E-3</v>
      </c>
      <c r="S43" s="190">
        <f t="shared" si="2"/>
        <v>-9.2700063450794623E-3</v>
      </c>
      <c r="T43" s="190">
        <f t="shared" si="2"/>
        <v>-1.8655365547202707E-2</v>
      </c>
    </row>
    <row r="44" ht="15.75" customHeight="1">
      <c r="C44" s="200" t="s">
        <v>478</v>
      </c>
      <c r="D44" s="201" t="n">
        <f>RSQ($R$10:$R$270,S10:S270)</f>
        <v>0.16056830343235642</v>
      </c>
      <c r="E44" s="201" t="n">
        <f>RSQ($R$10:$R$270,T10:T270)</f>
        <v>0.28667677831932503</v>
      </c>
      <c r="F44" s="212">
        <f t="shared" si="5"/>
        <v>0.20570385355436072</v>
      </c>
      <c r="N44" s="187">
        <v>44617</v>
      </c>
      <c r="O44" s="188">
        <v>190.45</v>
      </c>
      <c r="P44" s="188">
        <v>3900.59</v>
      </c>
      <c r="Q44" s="188">
        <v>453.53</v>
      </c>
      <c r="R44" s="190">
        <f t="shared" si="2"/>
        <v>-2.0822622107969257E-2</v>
      </c>
      <c r="S44" s="190">
        <f t="shared" si="2"/>
        <v>1.5493038416278804E-2</v>
      </c>
      <c r="T44" s="190">
        <f t="shared" si="2"/>
        <v>-1.5798268266747795E-2</v>
      </c>
    </row>
    <row r="45" ht="15.75" customHeight="1">
      <c r="C45" s="200" t="s">
        <v>479</v>
      </c>
      <c r="D45" s="202" t="n">
        <f>COUNT($R$10:$R$270)</f>
        <v>261</v>
      </c>
      <c r="E45" s="202" t="n">
        <f>COUNT(T10:T270)</f>
        <v>261</v>
      </c>
      <c r="F45" s="203"/>
      <c r="N45" s="187">
        <v>44624</v>
      </c>
      <c r="O45" s="188">
        <v>180.6</v>
      </c>
      <c r="P45" s="188">
        <v>3961.99</v>
      </c>
      <c r="Q45" s="188">
        <v>421.78</v>
      </c>
      <c r="R45" s="190">
        <f t="shared" si="2"/>
        <v>-5.1719611446573888E-2</v>
      </c>
      <c r="S45" s="190">
        <f t="shared" si="2"/>
        <v>1.5741208381296001E-2</v>
      </c>
      <c r="T45" s="190">
        <f t="shared" si="2"/>
        <v>-7.0006394284832352E-2</v>
      </c>
    </row>
    <row r="46">
      <c r="N46" s="187">
        <v>44631</v>
      </c>
      <c r="O46" s="188">
        <v>175.5</v>
      </c>
      <c r="P46" s="188">
        <v>3851.51</v>
      </c>
      <c r="Q46" s="188">
        <v>431.17</v>
      </c>
      <c r="R46" s="190">
        <f t="shared" si="2"/>
        <v>-2.8239202657807327E-2</v>
      </c>
      <c r="S46" s="190">
        <f t="shared" si="2"/>
        <v>-2.7884976993884258E-2</v>
      </c>
      <c r="T46" s="190">
        <f t="shared" si="2"/>
        <v>2.2262791028498263E-2</v>
      </c>
    </row>
    <row r="47">
      <c r="B47" s="354"/>
      <c r="C47" s="354"/>
      <c r="D47" s="354"/>
      <c r="E47" s="354"/>
      <c r="F47" s="354"/>
      <c r="N47" s="187">
        <v>44638</v>
      </c>
      <c r="O47" s="188">
        <v>189.05</v>
      </c>
      <c r="P47" s="188">
        <v>4035.74</v>
      </c>
      <c r="Q47" s="188">
        <v>454.6</v>
      </c>
      <c r="R47" s="190">
        <f t="shared" si="2"/>
        <v>7.720797720797723E-2</v>
      </c>
      <c r="S47" s="190">
        <f t="shared" si="2"/>
        <v>4.7833187503083074E-2</v>
      </c>
      <c r="T47" s="190">
        <f t="shared" si="2"/>
        <v>5.4340515341976481E-2</v>
      </c>
    </row>
    <row r="48">
      <c r="C48" s="104"/>
      <c r="N48" s="187">
        <v>44645</v>
      </c>
      <c r="O48" s="188">
        <v>192.1</v>
      </c>
      <c r="P48" s="188">
        <v>4133.4399999999996</v>
      </c>
      <c r="Q48" s="188">
        <v>453.55</v>
      </c>
      <c r="R48" s="190">
        <f t="shared" si="2"/>
        <v>1.6133298069293645E-2</v>
      </c>
      <c r="S48" s="190">
        <f t="shared" si="2"/>
        <v>2.4208695307428085E-2</v>
      </c>
      <c r="T48" s="190">
        <f t="shared" si="2"/>
        <v>-2.3097228332600306E-3</v>
      </c>
    </row>
    <row r="49">
      <c r="C49" s="104"/>
      <c r="N49" s="187">
        <v>44652</v>
      </c>
      <c r="O49" s="188">
        <v>199.55</v>
      </c>
      <c r="P49" s="188">
        <v>4117.63</v>
      </c>
      <c r="Q49" s="188">
        <v>458.34</v>
      </c>
      <c r="R49" s="190">
        <f t="shared" si="2"/>
        <v>3.878188443519015E-2</v>
      </c>
      <c r="S49" s="190">
        <f t="shared" si="2"/>
        <v>-3.8249012928697201E-3</v>
      </c>
      <c r="T49" s="190">
        <f t="shared" si="2"/>
        <v>1.0561128872230041E-2</v>
      </c>
    </row>
    <row r="50" s="11" customFormat="1">
      <c r="C50" s="355"/>
      <c r="D50" s="355"/>
      <c r="E50" s="355"/>
      <c r="F50" s="355"/>
      <c r="N50" s="187">
        <v>44659</v>
      </c>
      <c r="O50" s="188">
        <v>203.2</v>
      </c>
      <c r="P50" s="188">
        <v>4128.29</v>
      </c>
      <c r="Q50" s="188">
        <v>460.97</v>
      </c>
      <c r="R50" s="190">
        <f t="shared" si="2"/>
        <v>1.8291155098972611E-2</v>
      </c>
      <c r="S50" s="190">
        <f t="shared" si="2"/>
        <v>2.5888678681669219E-3</v>
      </c>
      <c r="T50" s="190">
        <f t="shared" si="2"/>
        <v>5.7380983549331077E-3</v>
      </c>
      <c r="V50"/>
      <c r="W50"/>
      <c r="X50"/>
      <c r="Y50"/>
    </row>
    <row r="51" s="11" customFormat="1">
      <c r="C51" s="107"/>
      <c r="D51" s="107"/>
      <c r="E51" s="107"/>
      <c r="F51" s="107"/>
      <c r="N51" s="187">
        <v>44666</v>
      </c>
      <c r="O51" s="188">
        <v>206.8</v>
      </c>
      <c r="P51" s="188">
        <v>4061.2</v>
      </c>
      <c r="Q51" s="188">
        <v>459.82</v>
      </c>
      <c r="R51" s="190">
        <f t="shared" si="2"/>
        <v>1.7716535433071057E-2</v>
      </c>
      <c r="S51" s="190">
        <f t="shared" si="2"/>
        <v>-1.6251280796649503E-2</v>
      </c>
      <c r="T51" s="190">
        <f t="shared" si="2"/>
        <v>-2.4947393539710427E-3</v>
      </c>
      <c r="V51"/>
      <c r="W51"/>
      <c r="X51"/>
      <c r="Y51"/>
    </row>
    <row r="52" s="11" customFormat="1">
      <c r="C52" s="104"/>
      <c r="N52" s="187">
        <v>44673</v>
      </c>
      <c r="O52" s="188">
        <v>197.05</v>
      </c>
      <c r="P52" s="188">
        <v>3963.06</v>
      </c>
      <c r="Q52" s="188">
        <v>453.31</v>
      </c>
      <c r="R52" s="190">
        <f t="shared" si="2"/>
        <v>-4.7147001934235933E-2</v>
      </c>
      <c r="S52" s="190">
        <f t="shared" si="2"/>
        <v>-2.4165271348369877E-2</v>
      </c>
      <c r="T52" s="190">
        <f t="shared" si="2"/>
        <v>-1.41577138880431E-2</v>
      </c>
      <c r="V52"/>
      <c r="W52"/>
      <c r="X52"/>
      <c r="Y52"/>
    </row>
    <row r="53" s="11" customFormat="1">
      <c r="B53" s="356"/>
      <c r="C53" s="356"/>
      <c r="D53" s="356"/>
      <c r="E53" s="356"/>
      <c r="F53" s="356"/>
      <c r="N53" s="187">
        <v>44680</v>
      </c>
      <c r="O53" s="188">
        <v>203</v>
      </c>
      <c r="P53" s="188">
        <v>3916.89</v>
      </c>
      <c r="Q53" s="188">
        <v>450.39</v>
      </c>
      <c r="R53" s="190">
        <f t="shared" si="2"/>
        <v>3.0195381882770711E-2</v>
      </c>
      <c r="S53" s="190">
        <f t="shared" si="2"/>
        <v>-1.1650088567924821E-2</v>
      </c>
      <c r="T53" s="190">
        <f t="shared" si="2"/>
        <v>-6.4415080187951723E-3</v>
      </c>
      <c r="V53"/>
      <c r="W53"/>
      <c r="X53"/>
      <c r="Y53"/>
    </row>
    <row r="54" s="11" customFormat="1">
      <c r="B54" s="316"/>
      <c r="C54" s="316"/>
      <c r="D54" s="316"/>
      <c r="E54" s="316"/>
      <c r="F54" s="316"/>
      <c r="N54" s="187">
        <v>44687</v>
      </c>
      <c r="O54" s="188">
        <v>188.1</v>
      </c>
      <c r="P54" s="188">
        <v>3901.35</v>
      </c>
      <c r="Q54" s="188">
        <v>429.91</v>
      </c>
      <c r="R54" s="190">
        <f t="shared" si="2"/>
        <v>-7.3399014778325111E-2</v>
      </c>
      <c r="S54" s="190">
        <f t="shared" si="2"/>
        <v>-3.9674333463538547E-3</v>
      </c>
      <c r="T54" s="190">
        <f t="shared" si="2"/>
        <v>-4.5471702302448902E-2</v>
      </c>
      <c r="V54"/>
      <c r="W54"/>
      <c r="X54"/>
      <c r="Y54"/>
    </row>
    <row r="55" s="11" customFormat="1">
      <c r="N55" s="187">
        <v>44694</v>
      </c>
      <c r="O55" s="188">
        <v>186.9</v>
      </c>
      <c r="P55" s="188">
        <v>3865.78</v>
      </c>
      <c r="Q55" s="188">
        <v>433.48</v>
      </c>
      <c r="R55" s="190">
        <f t="shared" si="2"/>
        <v>-6.3795853269537073E-3</v>
      </c>
      <c r="S55" s="190">
        <f t="shared" si="2"/>
        <v>-9.1173568123853466E-3</v>
      </c>
      <c r="T55" s="190">
        <f t="shared" si="2"/>
        <v>8.3040636412272661E-3</v>
      </c>
      <c r="U55"/>
      <c r="V55"/>
      <c r="W55"/>
      <c r="X55"/>
      <c r="Y55"/>
    </row>
    <row r="56" s="11" customFormat="1">
      <c r="N56" s="187">
        <v>44701</v>
      </c>
      <c r="O56" s="188">
        <v>179.4</v>
      </c>
      <c r="P56" s="188">
        <v>3698.32</v>
      </c>
      <c r="Q56" s="188">
        <v>431.1</v>
      </c>
      <c r="R56" s="190">
        <f t="shared" si="2"/>
        <v>-4.0128410914927803E-2</v>
      </c>
      <c r="S56" s="190">
        <f t="shared" si="2"/>
        <v>-4.3318554082229177E-2</v>
      </c>
      <c r="T56" s="190">
        <f t="shared" si="2"/>
        <v>-5.4904493863615622E-3</v>
      </c>
      <c r="U56"/>
      <c r="V56"/>
      <c r="W56"/>
      <c r="X56"/>
      <c r="Y56"/>
    </row>
    <row r="57" s="11" customFormat="1">
      <c r="N57" s="187">
        <v>44708</v>
      </c>
      <c r="O57" s="188">
        <v>187.2</v>
      </c>
      <c r="P57" s="188">
        <v>3882.58</v>
      </c>
      <c r="Q57" s="188">
        <v>443.93</v>
      </c>
      <c r="R57" s="190">
        <f t="shared" si="2"/>
        <v>4.3478260869565188E-2</v>
      </c>
      <c r="S57" s="190">
        <f t="shared" si="2"/>
        <v>4.9822622163576913E-2</v>
      </c>
      <c r="T57" s="190">
        <f t="shared" si="2"/>
        <v>2.9761076316399793E-2</v>
      </c>
      <c r="U57"/>
      <c r="V57"/>
      <c r="W57"/>
      <c r="X57"/>
      <c r="Y57"/>
    </row>
    <row r="58" s="11" customFormat="1">
      <c r="N58" s="187">
        <v>44715</v>
      </c>
      <c r="O58" s="188">
        <v>177.7</v>
      </c>
      <c r="P58" s="188">
        <v>3829.38</v>
      </c>
      <c r="Q58" s="188">
        <v>440.09</v>
      </c>
      <c r="R58" s="190">
        <f t="shared" si="2"/>
        <v>-5.074786324786329E-2</v>
      </c>
      <c r="S58" s="190">
        <f t="shared" si="2"/>
        <v>-1.3702228930247418E-2</v>
      </c>
      <c r="T58" s="190">
        <f t="shared" si="2"/>
        <v>-8.650012389340711E-3</v>
      </c>
      <c r="U58"/>
      <c r="V58"/>
      <c r="W58"/>
      <c r="X58"/>
      <c r="Y58"/>
    </row>
    <row r="59" s="11" customFormat="1">
      <c r="N59" s="187">
        <v>44722</v>
      </c>
      <c r="O59" s="188">
        <v>173.65</v>
      </c>
      <c r="P59" s="188">
        <v>3709.1</v>
      </c>
      <c r="Q59" s="188">
        <v>422.71</v>
      </c>
      <c r="R59" s="190">
        <f t="shared" si="2"/>
        <v>-2.2791221159257136E-2</v>
      </c>
      <c r="S59" s="190">
        <f t="shared" si="2"/>
        <v>-3.140978435151387E-2</v>
      </c>
      <c r="T59" s="190">
        <f t="shared" si="2"/>
        <v>-3.9491922106841826E-2</v>
      </c>
      <c r="U59"/>
      <c r="V59"/>
      <c r="W59"/>
      <c r="X59"/>
      <c r="Y59"/>
    </row>
    <row r="60" s="11" customFormat="1">
      <c r="N60" s="187">
        <v>44729</v>
      </c>
      <c r="O60" s="188">
        <v>167.3</v>
      </c>
      <c r="P60" s="188">
        <v>3510.55</v>
      </c>
      <c r="Q60" s="188">
        <v>403.25</v>
      </c>
      <c r="R60" s="190">
        <f t="shared" si="2"/>
        <v>-3.656780881082633E-2</v>
      </c>
      <c r="S60" s="190">
        <f t="shared" si="2"/>
        <v>-5.353050605268117E-2</v>
      </c>
      <c r="T60" s="190">
        <f t="shared" si="2"/>
        <v>-4.6036289654846074E-2</v>
      </c>
      <c r="U60"/>
      <c r="V60"/>
      <c r="W60"/>
      <c r="X60"/>
      <c r="Y60"/>
    </row>
    <row r="61" s="11" customFormat="1">
      <c r="N61" s="187">
        <v>44736</v>
      </c>
      <c r="O61" s="188">
        <v>179.7</v>
      </c>
      <c r="P61" s="188">
        <v>3708.87</v>
      </c>
      <c r="Q61" s="188">
        <v>412.93</v>
      </c>
      <c r="R61" s="190">
        <f t="shared" si="2"/>
        <v>7.4118350268977728E-2</v>
      </c>
      <c r="S61" s="190">
        <f t="shared" si="2"/>
        <v>5.6492572388941786E-2</v>
      </c>
      <c r="T61" s="190">
        <f t="shared" si="2"/>
        <v>2.4004959702417894E-2</v>
      </c>
      <c r="U61"/>
      <c r="V61"/>
      <c r="W61"/>
      <c r="X61"/>
      <c r="Y61"/>
    </row>
    <row r="62" s="11" customFormat="1">
      <c r="N62" s="187">
        <v>44743</v>
      </c>
      <c r="O62" s="188">
        <v>177.65</v>
      </c>
      <c r="P62" s="188">
        <v>3677.49</v>
      </c>
      <c r="Q62" s="188">
        <v>407.13</v>
      </c>
      <c r="R62" s="190">
        <f t="shared" si="2"/>
        <v>-1.1407902058987118E-2</v>
      </c>
      <c r="S62" s="190">
        <f t="shared" si="2"/>
        <v>-8.4607980328240684E-3</v>
      </c>
      <c r="T62" s="190">
        <f t="shared" si="2"/>
        <v>-1.4045964207008432E-2</v>
      </c>
      <c r="U62"/>
      <c r="V62"/>
      <c r="W62"/>
      <c r="X62"/>
      <c r="Y62"/>
    </row>
    <row r="63">
      <c r="N63" s="187">
        <v>44750</v>
      </c>
      <c r="O63" s="188">
        <v>190.7</v>
      </c>
      <c r="P63" s="188">
        <v>3835.33</v>
      </c>
      <c r="Q63" s="188">
        <v>417.12</v>
      </c>
      <c r="R63" s="190">
        <f t="shared" si="2"/>
        <v>7.3459048691246753E-2</v>
      </c>
      <c r="S63" s="190">
        <f t="shared" si="2"/>
        <v>4.2920578981859858E-2</v>
      </c>
      <c r="T63" s="190">
        <f t="shared" si="2"/>
        <v>2.4537616977378329E-2</v>
      </c>
      <c r="U63"/>
    </row>
    <row r="64">
      <c r="N64" s="187">
        <v>44757</v>
      </c>
      <c r="O64" s="188">
        <v>193.05</v>
      </c>
      <c r="P64" s="188">
        <v>3832.12</v>
      </c>
      <c r="Q64" s="188">
        <v>413.78</v>
      </c>
      <c r="R64" s="190">
        <f t="shared" si="2"/>
        <v>1.2323020450970334E-2</v>
      </c>
      <c r="S64" s="190">
        <f t="shared" si="2"/>
        <v>-8.3695535977346136E-4</v>
      </c>
      <c r="T64" s="190">
        <f t="shared" si="2"/>
        <v>-8.0072880705792659E-3</v>
      </c>
      <c r="U64"/>
    </row>
    <row r="65">
      <c r="N65" s="187">
        <v>44764</v>
      </c>
      <c r="O65" s="188">
        <v>197.45</v>
      </c>
      <c r="P65" s="188">
        <v>3871.8</v>
      </c>
      <c r="Q65" s="188">
        <v>425.71</v>
      </c>
      <c r="R65" s="190">
        <f t="shared" si="2"/>
        <v>2.2792022792022637E-2</v>
      </c>
      <c r="S65" s="190">
        <f t="shared" si="2"/>
        <v>1.035458179806481E-2</v>
      </c>
      <c r="T65" s="190">
        <f t="shared" si="2"/>
        <v>2.8831746338634057E-2</v>
      </c>
      <c r="U65"/>
    </row>
    <row r="66">
      <c r="N66" s="187">
        <v>44771</v>
      </c>
      <c r="O66" s="188">
        <v>206.2</v>
      </c>
      <c r="P66" s="188">
        <v>4050.5</v>
      </c>
      <c r="Q66" s="188">
        <v>438.29</v>
      </c>
      <c r="R66" s="190">
        <f t="shared" si="2"/>
        <v>4.4315016459863354E-2</v>
      </c>
      <c r="S66" s="190">
        <f t="shared" si="2"/>
        <v>4.6154243504313186E-2</v>
      </c>
      <c r="T66" s="190">
        <f t="shared" si="2"/>
        <v>2.9550633060064557E-2</v>
      </c>
    </row>
    <row r="67">
      <c r="N67" s="187">
        <v>44778</v>
      </c>
      <c r="O67" s="188">
        <v>208.1</v>
      </c>
      <c r="P67" s="188">
        <v>4070.7</v>
      </c>
      <c r="Q67" s="188">
        <v>435.72</v>
      </c>
      <c r="R67" s="190">
        <f t="shared" si="2"/>
        <v>9.2143549951504422E-3</v>
      </c>
      <c r="S67" s="190">
        <f t="shared" si="2"/>
        <v>4.9870386372052877E-3</v>
      </c>
      <c r="T67" s="190">
        <f t="shared" si="2"/>
        <v>-5.863697551849234E-3</v>
      </c>
    </row>
    <row r="68">
      <c r="N68" s="187">
        <v>44785</v>
      </c>
      <c r="O68" s="188">
        <v>209</v>
      </c>
      <c r="P68" s="188">
        <v>4172.91</v>
      </c>
      <c r="Q68" s="188">
        <v>440.87</v>
      </c>
      <c r="R68" s="190">
        <f t="shared" si="2"/>
        <v>4.3248438250840238E-3</v>
      </c>
      <c r="S68" s="190">
        <f t="shared" si="2"/>
        <v>2.5108703662760634E-2</v>
      </c>
      <c r="T68" s="190">
        <f t="shared" si="2"/>
        <v>1.1819517121086864E-2</v>
      </c>
    </row>
    <row r="69">
      <c r="N69" s="187">
        <v>44792</v>
      </c>
      <c r="O69" s="188">
        <v>205.3</v>
      </c>
      <c r="P69" s="188">
        <v>4213.3100000000004</v>
      </c>
      <c r="Q69" s="188">
        <v>437.36</v>
      </c>
      <c r="R69" s="190">
        <f t="shared" si="2"/>
        <v>-1.7703349282296554E-2</v>
      </c>
      <c r="S69" s="190">
        <f t="shared" si="2"/>
        <v>9.6814932505135953E-3</v>
      </c>
      <c r="T69" s="190">
        <f t="shared" si="2"/>
        <v>-7.9615306099303229E-3</v>
      </c>
    </row>
    <row r="70">
      <c r="N70" s="187">
        <v>44799</v>
      </c>
      <c r="O70" s="188">
        <v>199.85</v>
      </c>
      <c r="P70" s="188">
        <v>4065.79</v>
      </c>
      <c r="Q70" s="188">
        <v>426.09</v>
      </c>
      <c r="R70" s="190">
        <f t="shared" si="2"/>
        <v>-2.6546517291768268E-2</v>
      </c>
      <c r="S70" s="190">
        <f t="shared" si="2"/>
        <v>-3.5012852128136873E-2</v>
      </c>
      <c r="T70" s="190">
        <f t="shared" si="2"/>
        <v>-2.5768245838668435E-2</v>
      </c>
    </row>
    <row r="71">
      <c r="N71" s="187">
        <v>44806</v>
      </c>
      <c r="O71" s="188">
        <v>196.65</v>
      </c>
      <c r="P71" s="188">
        <v>3936.07</v>
      </c>
      <c r="Q71" s="188">
        <v>415.97</v>
      </c>
      <c r="R71" s="190">
        <f t="shared" si="2"/>
        <v>-1.6012009006755035E-2</v>
      </c>
      <c r="S71" s="190">
        <f t="shared" si="2"/>
        <v>-3.1905238588318618E-2</v>
      </c>
      <c r="T71" s="190">
        <f t="shared" si="2"/>
        <v>-2.3750850759229114E-2</v>
      </c>
    </row>
    <row r="72">
      <c r="N72" s="187">
        <v>44813</v>
      </c>
      <c r="O72" s="188">
        <v>195.55</v>
      </c>
      <c r="P72" s="188">
        <v>4045.51</v>
      </c>
      <c r="Q72" s="188">
        <v>420.37</v>
      </c>
      <c r="R72" s="190">
        <f t="shared" si="2"/>
        <v>-5.5936943808797546E-3</v>
      </c>
      <c r="S72" s="190">
        <f t="shared" si="2"/>
        <v>2.7804383560251722E-2</v>
      </c>
      <c r="T72" s="190">
        <f t="shared" si="2"/>
        <v>1.0577685890809319E-2</v>
      </c>
    </row>
    <row r="73">
      <c r="N73" s="187">
        <v>44820</v>
      </c>
      <c r="O73" s="188">
        <v>196.55</v>
      </c>
      <c r="P73" s="188">
        <v>3870.62</v>
      </c>
      <c r="Q73" s="188">
        <v>408.24</v>
      </c>
      <c r="R73" s="190">
        <f t="shared" si="2"/>
        <v>5.1137816415238735E-3</v>
      </c>
      <c r="S73" s="190">
        <f t="shared" si="2"/>
        <v>-4.3230643355225973E-2</v>
      </c>
      <c r="T73" s="190">
        <f t="shared" si="2"/>
        <v>-2.8855532031305753E-2</v>
      </c>
    </row>
    <row r="74">
      <c r="N74" s="187">
        <v>44827</v>
      </c>
      <c r="O74" s="188">
        <v>190.15</v>
      </c>
      <c r="P74" s="188">
        <v>3804.71</v>
      </c>
      <c r="Q74" s="188">
        <v>390.4</v>
      </c>
      <c r="R74" s="190" t="n">
        <f t="shared" ref="R74:T137" si="6">O74/O73-1</f>
        <v>-0.03256168913762403</v>
      </c>
      <c r="S74" s="190">
        <f t="shared" si="6"/>
        <v>-1.7028279707126948E-2</v>
      </c>
      <c r="T74" s="190">
        <f t="shared" si="6"/>
        <v>-4.3699784440525247E-2</v>
      </c>
    </row>
    <row r="75">
      <c r="N75" s="187">
        <v>44834</v>
      </c>
      <c r="O75" s="188">
        <v>191.7</v>
      </c>
      <c r="P75" s="188">
        <v>3662.53</v>
      </c>
      <c r="Q75" s="188">
        <v>387.85</v>
      </c>
      <c r="R75" s="190">
        <f t="shared" si="6"/>
        <v>8.1514593741782715E-3</v>
      </c>
      <c r="S75" s="190">
        <f t="shared" si="6"/>
        <v>-3.7369470997789533E-2</v>
      </c>
      <c r="T75" s="190">
        <f t="shared" si="6"/>
        <v>-6.5317622950818999E-3</v>
      </c>
    </row>
    <row r="76">
      <c r="N76" s="187">
        <v>44841</v>
      </c>
      <c r="O76" s="188">
        <v>189.65</v>
      </c>
      <c r="P76" s="188">
        <v>3728.78</v>
      </c>
      <c r="Q76" s="188">
        <v>391.67</v>
      </c>
      <c r="R76" s="190">
        <f t="shared" si="6"/>
        <v>-1.0693792383933087E-2</v>
      </c>
      <c r="S76" s="190">
        <f t="shared" si="6"/>
        <v>1.8088589035448077E-2</v>
      </c>
      <c r="T76" s="190">
        <f t="shared" si="6"/>
        <v>9.8491684929740142E-3</v>
      </c>
    </row>
    <row r="77">
      <c r="N77" s="187">
        <v>44848</v>
      </c>
      <c r="O77" s="188">
        <v>187.3</v>
      </c>
      <c r="P77" s="188">
        <v>3687.04</v>
      </c>
      <c r="Q77" s="188">
        <v>391.31</v>
      </c>
      <c r="R77" s="190">
        <f t="shared" si="6"/>
        <v>-1.2391247034009956E-2</v>
      </c>
      <c r="S77" s="190">
        <f t="shared" si="6"/>
        <v>-1.1194009836997698E-2</v>
      </c>
      <c r="T77" s="190">
        <f t="shared" si="6"/>
        <v>-9.191411136927341E-4</v>
      </c>
    </row>
    <row r="78">
      <c r="N78" s="187">
        <v>44855</v>
      </c>
      <c r="O78" s="188">
        <v>190.2</v>
      </c>
      <c r="P78" s="188">
        <v>3814.16</v>
      </c>
      <c r="Q78" s="188">
        <v>396.29</v>
      </c>
      <c r="R78" s="190">
        <f t="shared" si="6"/>
        <v>1.5483182060864742E-2</v>
      </c>
      <c r="S78" s="190">
        <f t="shared" si="6"/>
        <v>3.4477521263669431E-2</v>
      </c>
      <c r="T78" s="190">
        <f t="shared" si="6"/>
        <v>1.2726482839692466E-2</v>
      </c>
    </row>
    <row r="79">
      <c r="N79" s="187">
        <v>44862</v>
      </c>
      <c r="O79" s="188">
        <v>198.9</v>
      </c>
      <c r="P79" s="188">
        <v>3925</v>
      </c>
      <c r="Q79" s="188">
        <v>410.76</v>
      </c>
      <c r="R79" s="190">
        <f t="shared" si="6"/>
        <v>4.5741324921135806E-2</v>
      </c>
      <c r="S79" s="190">
        <f t="shared" si="6"/>
        <v>2.9060133817144562E-2</v>
      </c>
      <c r="T79" s="190">
        <f t="shared" si="6"/>
        <v>3.6513664235786836E-2</v>
      </c>
    </row>
    <row r="80">
      <c r="N80" s="187">
        <v>44869</v>
      </c>
      <c r="O80" s="188">
        <v>201.4</v>
      </c>
      <c r="P80" s="188">
        <v>3799.81</v>
      </c>
      <c r="Q80" s="188">
        <v>416.98</v>
      </c>
      <c r="R80" s="190">
        <f t="shared" si="6"/>
        <v>1.2569130216188995E-2</v>
      </c>
      <c r="S80" s="190">
        <f t="shared" si="6"/>
        <v>-3.189554140127393E-2</v>
      </c>
      <c r="T80" s="190">
        <f t="shared" si="6"/>
        <v>1.5142662381926186E-2</v>
      </c>
    </row>
    <row r="81">
      <c r="N81" s="187">
        <v>44876</v>
      </c>
      <c r="O81" s="188">
        <v>209.8</v>
      </c>
      <c r="P81" s="188">
        <v>3860.89</v>
      </c>
      <c r="Q81" s="188">
        <v>432.26</v>
      </c>
      <c r="R81" s="190">
        <f t="shared" si="6"/>
        <v>4.170804369414105E-2</v>
      </c>
      <c r="S81" s="190">
        <f t="shared" si="6"/>
        <v>1.6074487934923054E-2</v>
      </c>
      <c r="T81" s="190">
        <f t="shared" si="6"/>
        <v>3.6644443378579306E-2</v>
      </c>
    </row>
    <row r="82">
      <c r="N82" s="187">
        <v>44883</v>
      </c>
      <c r="O82" s="188">
        <v>208.2</v>
      </c>
      <c r="P82" s="188">
        <v>3837.55</v>
      </c>
      <c r="Q82" s="188">
        <v>433.33</v>
      </c>
      <c r="R82" s="190">
        <f t="shared" si="6"/>
        <v>-7.6263107721640244E-3</v>
      </c>
      <c r="S82" s="190">
        <f t="shared" si="6"/>
        <v>-6.0452382740766586E-3</v>
      </c>
      <c r="T82" s="190">
        <f t="shared" si="6"/>
        <v>2.4753620506177132E-3</v>
      </c>
    </row>
    <row r="83">
      <c r="N83" s="187">
        <v>44890</v>
      </c>
      <c r="O83" s="188">
        <v>210</v>
      </c>
      <c r="P83" s="188">
        <v>3869.04</v>
      </c>
      <c r="Q83" s="188">
        <v>440.73</v>
      </c>
      <c r="R83" s="190">
        <f t="shared" si="6"/>
        <v>8.6455331412105263E-3</v>
      </c>
      <c r="S83" s="190">
        <f t="shared" si="6"/>
        <v>8.2057562767912096E-3</v>
      </c>
      <c r="T83" s="190">
        <f t="shared" si="6"/>
        <v>1.7077054438880301E-2</v>
      </c>
    </row>
    <row r="84">
      <c r="N84" s="187">
        <v>44897</v>
      </c>
      <c r="O84" s="188">
        <v>214.5</v>
      </c>
      <c r="P84" s="188">
        <v>3868.23</v>
      </c>
      <c r="Q84" s="188">
        <v>443.29</v>
      </c>
      <c r="R84" s="190">
        <f t="shared" si="6"/>
        <v>2.1428571428571352E-2</v>
      </c>
      <c r="S84" s="190">
        <f t="shared" si="6"/>
        <v>-2.0935425842072419E-4</v>
      </c>
      <c r="T84" s="190">
        <f t="shared" si="6"/>
        <v>5.808544914119862E-3</v>
      </c>
    </row>
    <row r="85">
      <c r="N85" s="187">
        <v>44904</v>
      </c>
      <c r="O85" s="188">
        <v>209.4</v>
      </c>
      <c r="P85" s="188">
        <v>3730.68</v>
      </c>
      <c r="Q85" s="188">
        <v>439.13</v>
      </c>
      <c r="R85" s="190">
        <f t="shared" si="6"/>
        <v>-2.3776223776223793E-2</v>
      </c>
      <c r="S85" s="190">
        <f t="shared" si="6"/>
        <v>-3.5558899031339908E-2</v>
      </c>
      <c r="T85" s="190">
        <f t="shared" si="6"/>
        <v>-9.3843759164430329E-3</v>
      </c>
    </row>
    <row r="86">
      <c r="N86" s="187">
        <v>44911</v>
      </c>
      <c r="O86" s="188">
        <v>206.5</v>
      </c>
      <c r="P86" s="188">
        <v>3632.59</v>
      </c>
      <c r="Q86" s="188">
        <v>424.74</v>
      </c>
      <c r="R86" s="190">
        <f t="shared" si="6"/>
        <v>-1.384909264565426E-2</v>
      </c>
      <c r="S86" s="190">
        <f t="shared" si="6"/>
        <v>-2.6292793807027093E-2</v>
      </c>
      <c r="T86" s="190">
        <f t="shared" si="6"/>
        <v>-3.2769339375583462E-2</v>
      </c>
    </row>
    <row r="87">
      <c r="N87" s="187">
        <v>44918</v>
      </c>
      <c r="O87" s="188">
        <v>198.7</v>
      </c>
      <c r="P87" s="188">
        <v>3620.02</v>
      </c>
      <c r="Q87" s="188">
        <v>427.45</v>
      </c>
      <c r="R87" s="190">
        <f t="shared" si="6"/>
        <v>-3.7772397094431032E-2</v>
      </c>
      <c r="S87" s="190">
        <f t="shared" si="6"/>
        <v>-3.460340968840514E-3</v>
      </c>
      <c r="T87" s="190">
        <f t="shared" si="6"/>
        <v>6.3803738757828299E-3</v>
      </c>
    </row>
    <row r="88">
      <c r="N88" s="187">
        <v>44925</v>
      </c>
      <c r="O88" s="188">
        <v>200.2</v>
      </c>
      <c r="P88" s="188">
        <v>3584.63</v>
      </c>
      <c r="Q88" s="188">
        <v>424.89</v>
      </c>
      <c r="R88" s="190">
        <f t="shared" si="6"/>
        <v>7.5490689481629847E-3</v>
      </c>
      <c r="S88" s="190">
        <f t="shared" si="6"/>
        <v>-9.7761890818282016E-3</v>
      </c>
      <c r="T88" s="190">
        <f t="shared" si="6"/>
        <v>-5.9890045619370724E-3</v>
      </c>
    </row>
    <row r="89">
      <c r="N89" s="187">
        <v>44932</v>
      </c>
      <c r="O89" s="188">
        <v>208.9</v>
      </c>
      <c r="P89" s="188">
        <v>3661.48</v>
      </c>
      <c r="Q89" s="188">
        <v>444.42</v>
      </c>
      <c r="R89" s="190">
        <f t="shared" si="6"/>
        <v>4.3456543456543484E-2</v>
      </c>
      <c r="S89" s="190">
        <f t="shared" si="6"/>
        <v>2.1438753790488763E-2</v>
      </c>
      <c r="T89" s="190">
        <f t="shared" si="6"/>
        <v>4.5964837958059723E-2</v>
      </c>
    </row>
    <row r="90">
      <c r="N90" s="187">
        <v>44939</v>
      </c>
      <c r="O90" s="188">
        <v>217.6</v>
      </c>
      <c r="P90" s="188">
        <v>3693.29</v>
      </c>
      <c r="Q90" s="188">
        <v>452.54</v>
      </c>
      <c r="R90" s="190">
        <f t="shared" si="6"/>
        <v>4.1646720919100044E-2</v>
      </c>
      <c r="S90" s="190">
        <f t="shared" si="6"/>
        <v>8.6877437538919189E-3</v>
      </c>
      <c r="T90" s="190">
        <f t="shared" si="6"/>
        <v>1.8271004905269894E-2</v>
      </c>
    </row>
    <row r="91">
      <c r="N91" s="187">
        <v>44946</v>
      </c>
      <c r="O91" s="188">
        <v>222.6</v>
      </c>
      <c r="P91" s="188">
        <v>3663.42</v>
      </c>
      <c r="Q91" s="188">
        <v>452.12</v>
      </c>
      <c r="R91" s="190">
        <f t="shared" si="6"/>
        <v>2.2977941176470562E-2</v>
      </c>
      <c r="S91" s="190">
        <f t="shared" si="6"/>
        <v>-8.0876400174370033E-3</v>
      </c>
      <c r="T91" s="190">
        <f t="shared" si="6"/>
        <v>-9.2809475405497555E-4</v>
      </c>
    </row>
    <row r="92">
      <c r="N92" s="187">
        <v>44953</v>
      </c>
      <c r="O92" s="188">
        <v>232.7</v>
      </c>
      <c r="P92" s="188">
        <v>3745.8</v>
      </c>
      <c r="Q92" s="188">
        <v>455.17</v>
      </c>
      <c r="R92" s="190">
        <f t="shared" si="6"/>
        <v>4.5372866127583178E-2</v>
      </c>
      <c r="S92" s="190">
        <f t="shared" si="6"/>
        <v>2.2487184106654512E-2</v>
      </c>
      <c r="T92" s="190">
        <f t="shared" si="6"/>
        <v>6.7459966380607472E-3</v>
      </c>
    </row>
    <row r="93">
      <c r="N93" s="187">
        <v>44960</v>
      </c>
      <c r="O93" s="188">
        <v>242</v>
      </c>
      <c r="P93" s="188">
        <v>3821.23</v>
      </c>
      <c r="Q93" s="188">
        <v>460.77</v>
      </c>
      <c r="R93" s="190">
        <f t="shared" si="6"/>
        <v>3.9965620971207594E-2</v>
      </c>
      <c r="S93" s="190">
        <f t="shared" si="6"/>
        <v>2.0137220353462437E-2</v>
      </c>
      <c r="T93" s="190">
        <f t="shared" si="6"/>
        <v>1.2303095546718712E-2</v>
      </c>
    </row>
    <row r="94">
      <c r="N94" s="187">
        <v>44967</v>
      </c>
      <c r="O94" s="188">
        <v>242.6</v>
      </c>
      <c r="P94" s="188">
        <v>3834.33</v>
      </c>
      <c r="Q94" s="188">
        <v>457.89</v>
      </c>
      <c r="R94" s="190">
        <f t="shared" si="6"/>
        <v>2.4793388429751317E-3</v>
      </c>
      <c r="S94" s="190">
        <f t="shared" si="6"/>
        <v>3.4282155222271626E-3</v>
      </c>
      <c r="T94" s="190">
        <f t="shared" si="6"/>
        <v>-6.2504069275343133E-3</v>
      </c>
    </row>
    <row r="95">
      <c r="N95" s="187">
        <v>44974</v>
      </c>
      <c r="O95" s="188">
        <v>249</v>
      </c>
      <c r="P95" s="188">
        <v>3819.73</v>
      </c>
      <c r="Q95" s="188">
        <v>464.3</v>
      </c>
      <c r="R95" s="190">
        <f t="shared" si="6"/>
        <v>2.638087386644683E-2</v>
      </c>
      <c r="S95" s="190">
        <f t="shared" si="6"/>
        <v>-3.8077056487052507E-3</v>
      </c>
      <c r="T95" s="190">
        <f t="shared" si="6"/>
        <v>1.399899539190641E-2</v>
      </c>
    </row>
    <row r="96">
      <c r="N96" s="187">
        <v>44981</v>
      </c>
      <c r="O96" s="188">
        <v>244.8</v>
      </c>
      <c r="P96" s="188">
        <v>3764.14</v>
      </c>
      <c r="Q96" s="188">
        <v>457.7</v>
      </c>
      <c r="R96" s="190">
        <f t="shared" si="6"/>
        <v>-1.6867469879518038E-2</v>
      </c>
      <c r="S96" s="190">
        <f t="shared" si="6"/>
        <v>-1.4553384663313906E-2</v>
      </c>
      <c r="T96" s="190">
        <f t="shared" si="6"/>
        <v>-1.4214947232392916E-2</v>
      </c>
    </row>
    <row r="97">
      <c r="N97" s="187">
        <v>44988</v>
      </c>
      <c r="O97" s="188">
        <v>256.39999999999998</v>
      </c>
      <c r="P97" s="188">
        <v>3807.66</v>
      </c>
      <c r="Q97" s="188">
        <v>464.26</v>
      </c>
      <c r="R97" s="190">
        <f t="shared" si="6"/>
        <v>4.7385620915032511E-2</v>
      </c>
      <c r="S97" s="190">
        <f t="shared" si="6"/>
        <v>1.1561737873724054E-2</v>
      </c>
      <c r="T97" s="190">
        <f t="shared" si="6"/>
        <v>1.4332532226349226E-2</v>
      </c>
    </row>
    <row r="98">
      <c r="N98" s="187">
        <v>44995</v>
      </c>
      <c r="O98" s="188">
        <v>248.4</v>
      </c>
      <c r="P98" s="188">
        <v>3619.45</v>
      </c>
      <c r="Q98" s="188">
        <v>453.76</v>
      </c>
      <c r="R98" s="190">
        <f t="shared" si="6"/>
        <v>-3.1201248049921859E-2</v>
      </c>
      <c r="S98" s="190">
        <f t="shared" si="6"/>
        <v>-4.9429308289080431E-2</v>
      </c>
      <c r="T98" s="190">
        <f t="shared" si="6"/>
        <v>-2.261663722913887E-2</v>
      </c>
    </row>
    <row r="99">
      <c r="N99" s="187">
        <v>45002</v>
      </c>
      <c r="O99" s="188">
        <v>242</v>
      </c>
      <c r="P99" s="188">
        <v>3669.67</v>
      </c>
      <c r="Q99" s="188">
        <v>436.31</v>
      </c>
      <c r="R99" s="190">
        <f t="shared" si="6"/>
        <v>-2.5764895330112725E-2</v>
      </c>
      <c r="S99" s="190">
        <f t="shared" si="6"/>
        <v>1.3875036262415597E-2</v>
      </c>
      <c r="T99" s="190">
        <f t="shared" si="6"/>
        <v>-3.8456452750352588E-2</v>
      </c>
    </row>
    <row r="100">
      <c r="N100" s="187">
        <v>45009</v>
      </c>
      <c r="O100" s="188">
        <v>243.9</v>
      </c>
      <c r="P100" s="188">
        <v>3689.83</v>
      </c>
      <c r="Q100" s="188">
        <v>440.11</v>
      </c>
      <c r="R100" s="190">
        <f t="shared" si="6"/>
        <v>7.8512396694214726E-3</v>
      </c>
      <c r="S100" s="190">
        <f t="shared" si="6"/>
        <v>5.4936819932036585E-3</v>
      </c>
      <c r="T100" s="190">
        <f t="shared" si="6"/>
        <v>8.7094038642250293E-3</v>
      </c>
    </row>
    <row r="101">
      <c r="N101" s="187">
        <v>45016</v>
      </c>
      <c r="O101" s="188">
        <v>249.3</v>
      </c>
      <c r="P101" s="188">
        <v>3780.76</v>
      </c>
      <c r="Q101" s="188">
        <v>457.84</v>
      </c>
      <c r="R101" s="190">
        <f t="shared" si="6"/>
        <v>2.2140221402213944E-2</v>
      </c>
      <c r="S101" s="190">
        <f t="shared" si="6"/>
        <v>2.4643411756097189E-2</v>
      </c>
      <c r="T101" s="190">
        <f t="shared" si="6"/>
        <v>4.0285383199654579E-2</v>
      </c>
    </row>
    <row r="102">
      <c r="N102" s="187">
        <v>45023</v>
      </c>
      <c r="O102" s="188">
        <v>248.9</v>
      </c>
      <c r="P102" s="188">
        <v>3754.36</v>
      </c>
      <c r="Q102" s="188">
        <v>458.94</v>
      </c>
      <c r="R102" s="190">
        <f t="shared" si="6"/>
        <v>-1.6044925792217946E-3</v>
      </c>
      <c r="S102" s="190">
        <f t="shared" si="6"/>
        <v>-6.9827230503920479E-3</v>
      </c>
      <c r="T102" s="190">
        <f t="shared" si="6"/>
        <v>2.4025860562641999E-3</v>
      </c>
    </row>
    <row r="103">
      <c r="N103" s="187">
        <v>45030</v>
      </c>
      <c r="O103" s="188">
        <v>259.60000000000002</v>
      </c>
      <c r="P103" s="188">
        <v>3769.03</v>
      </c>
      <c r="Q103" s="188">
        <v>466.91</v>
      </c>
      <c r="R103" s="190">
        <f t="shared" si="6"/>
        <v>4.2989152269988118E-2</v>
      </c>
      <c r="S103" s="190">
        <f t="shared" si="6"/>
        <v>3.907456930075881E-3</v>
      </c>
      <c r="T103" s="190">
        <f t="shared" si="6"/>
        <v>1.7366104501677748E-2</v>
      </c>
    </row>
    <row r="104">
      <c r="N104" s="187">
        <v>45037</v>
      </c>
      <c r="O104" s="188">
        <v>252.1</v>
      </c>
      <c r="P104" s="188">
        <v>3764.93</v>
      </c>
      <c r="Q104" s="188">
        <v>469</v>
      </c>
      <c r="R104" s="190">
        <f t="shared" si="6"/>
        <v>-2.8890600924499354E-2</v>
      </c>
      <c r="S104" s="190">
        <f t="shared" si="6"/>
        <v>-1.0878130447357082E-3</v>
      </c>
      <c r="T104" s="190">
        <f t="shared" si="6"/>
        <v>4.4762373905034014E-3</v>
      </c>
    </row>
    <row r="105">
      <c r="N105" s="187">
        <v>45044</v>
      </c>
      <c r="O105" s="188">
        <v>252.3</v>
      </c>
      <c r="P105" s="188">
        <v>3779.78</v>
      </c>
      <c r="Q105" s="188">
        <v>466.64</v>
      </c>
      <c r="R105" s="190">
        <f t="shared" si="6"/>
        <v>7.9333597778674658E-4</v>
      </c>
      <c r="S105" s="190">
        <f t="shared" si="6"/>
        <v>3.9442964411025017E-3</v>
      </c>
      <c r="T105" s="190">
        <f t="shared" si="6"/>
        <v>-5.0319829424306795E-3</v>
      </c>
    </row>
    <row r="106">
      <c r="N106" s="187">
        <v>45051</v>
      </c>
      <c r="O106" s="188">
        <v>269.5</v>
      </c>
      <c r="P106" s="188">
        <v>3749.32</v>
      </c>
      <c r="Q106" s="188">
        <v>465.31</v>
      </c>
      <c r="R106" s="190">
        <f t="shared" si="6"/>
        <v>6.8172810146650775E-2</v>
      </c>
      <c r="S106" s="190">
        <f t="shared" si="6"/>
        <v>-8.0586700813275458E-3</v>
      </c>
      <c r="T106" s="190">
        <f t="shared" si="6"/>
        <v>-2.8501628664494572E-3</v>
      </c>
    </row>
    <row r="107">
      <c r="N107" s="187">
        <v>45058</v>
      </c>
      <c r="O107" s="188">
        <v>272.39999999999998</v>
      </c>
      <c r="P107" s="188">
        <v>3800.29</v>
      </c>
      <c r="Q107" s="188">
        <v>465.49</v>
      </c>
      <c r="R107" s="190">
        <f t="shared" si="6"/>
        <v>1.0760667903525034E-2</v>
      </c>
      <c r="S107" s="190">
        <f t="shared" si="6"/>
        <v>1.359446512967688E-2</v>
      </c>
      <c r="T107" s="190">
        <f t="shared" si="6"/>
        <v>3.8683888160573332E-4</v>
      </c>
    </row>
    <row r="108">
      <c r="N108" s="187">
        <v>45065</v>
      </c>
      <c r="O108" s="188">
        <v>275.89999999999998</v>
      </c>
      <c r="P108" s="188">
        <v>3873.93</v>
      </c>
      <c r="Q108" s="188">
        <v>468.85</v>
      </c>
      <c r="R108" s="190">
        <f t="shared" si="6"/>
        <v>1.2848751835536021E-2</v>
      </c>
      <c r="S108" s="190">
        <f t="shared" si="6"/>
        <v>1.9377468561609712E-2</v>
      </c>
      <c r="T108" s="190">
        <f t="shared" si="6"/>
        <v>7.2182001761584846E-3</v>
      </c>
    </row>
    <row r="109">
      <c r="N109" s="187">
        <v>45072</v>
      </c>
      <c r="O109" s="188">
        <v>271.7</v>
      </c>
      <c r="P109" s="188">
        <v>3922.99</v>
      </c>
      <c r="Q109" s="188">
        <v>461.41</v>
      </c>
      <c r="R109" s="190">
        <f t="shared" si="6"/>
        <v>-1.5222906850308027E-2</v>
      </c>
      <c r="S109" s="190">
        <f t="shared" si="6"/>
        <v>1.2664142098592457E-2</v>
      </c>
      <c r="T109" s="190">
        <f t="shared" si="6"/>
        <v>-1.586861469553158E-2</v>
      </c>
    </row>
    <row r="110">
      <c r="N110" s="187">
        <v>45079</v>
      </c>
      <c r="O110" s="188">
        <v>279.10000000000002</v>
      </c>
      <c r="P110" s="188">
        <v>3998.48</v>
      </c>
      <c r="Q110" s="188">
        <v>462.15</v>
      </c>
      <c r="R110" s="190">
        <f t="shared" si="6"/>
        <v>2.7235921972764254E-2</v>
      </c>
      <c r="S110" s="190">
        <f t="shared" si="6"/>
        <v>1.9242975383572336E-2</v>
      </c>
      <c r="T110" s="190">
        <f t="shared" si="6"/>
        <v>1.6037797186883029E-3</v>
      </c>
    </row>
    <row r="111">
      <c r="N111" s="187">
        <v>45086</v>
      </c>
      <c r="O111" s="188">
        <v>276.39999999999998</v>
      </c>
      <c r="P111" s="188">
        <v>3999.68</v>
      </c>
      <c r="Q111" s="188">
        <v>460.01</v>
      </c>
      <c r="R111" s="190">
        <f t="shared" si="6"/>
        <v>-9.6739519885347125E-3</v>
      </c>
      <c r="S111" s="190">
        <f t="shared" si="6"/>
        <v>3.0011404333651903E-4</v>
      </c>
      <c r="T111" s="190">
        <f t="shared" si="6"/>
        <v>-4.6305312128096521E-3</v>
      </c>
    </row>
    <row r="112">
      <c r="N112" s="187">
        <v>45093</v>
      </c>
      <c r="O112" s="188">
        <v>281.3</v>
      </c>
      <c r="P112" s="188">
        <v>4032.92</v>
      </c>
      <c r="Q112" s="188">
        <v>466.8</v>
      </c>
      <c r="R112" s="190">
        <f t="shared" si="6"/>
        <v>1.7727930535456071E-2</v>
      </c>
      <c r="S112" s="190">
        <f t="shared" si="6"/>
        <v>8.3106648531883209E-3</v>
      </c>
      <c r="T112" s="190">
        <f t="shared" si="6"/>
        <v>1.4760548683724339E-2</v>
      </c>
    </row>
    <row r="113">
      <c r="N113" s="187">
        <v>45100</v>
      </c>
      <c r="O113" s="188">
        <v>282.60000000000002</v>
      </c>
      <c r="P113" s="188">
        <v>3994.42</v>
      </c>
      <c r="Q113" s="188">
        <v>453.14</v>
      </c>
      <c r="R113" s="190">
        <f t="shared" si="6"/>
        <v>4.6214006398863638E-3</v>
      </c>
      <c r="S113" s="190">
        <f t="shared" si="6"/>
        <v>-9.5464328575820545E-3</v>
      </c>
      <c r="T113" s="190">
        <f t="shared" si="6"/>
        <v>-2.9263067694944356E-2</v>
      </c>
    </row>
    <row r="114">
      <c r="N114" s="187">
        <v>45107</v>
      </c>
      <c r="O114" s="188">
        <v>299.5</v>
      </c>
      <c r="P114" s="188">
        <v>4076.19</v>
      </c>
      <c r="Q114" s="188">
        <v>461.93</v>
      </c>
      <c r="R114" s="190">
        <f t="shared" si="6"/>
        <v>5.980184005661715E-2</v>
      </c>
      <c r="S114" s="190">
        <f t="shared" si="6"/>
        <v>2.0471057124688885E-2</v>
      </c>
      <c r="T114" s="190">
        <f t="shared" si="6"/>
        <v>1.9397978549675621E-2</v>
      </c>
    </row>
    <row r="115">
      <c r="N115" s="187">
        <v>45114</v>
      </c>
      <c r="O115" s="188">
        <v>288.2</v>
      </c>
      <c r="P115" s="188">
        <v>4009.25</v>
      </c>
      <c r="Q115" s="188">
        <v>447.65</v>
      </c>
      <c r="R115" s="190">
        <f t="shared" si="6"/>
        <v>-3.772954924874794E-2</v>
      </c>
      <c r="S115" s="190">
        <f t="shared" si="6"/>
        <v>-1.6422198180163328E-2</v>
      </c>
      <c r="T115" s="190">
        <f t="shared" si="6"/>
        <v>-3.0913774814365858E-2</v>
      </c>
    </row>
    <row r="116">
      <c r="N116" s="187">
        <v>45121</v>
      </c>
      <c r="O116" s="188">
        <v>292.89999999999998</v>
      </c>
      <c r="P116" s="188">
        <v>4008.74</v>
      </c>
      <c r="Q116" s="188">
        <v>460.83</v>
      </c>
      <c r="R116" s="190">
        <f t="shared" si="6"/>
        <v>1.6308119361554407E-2</v>
      </c>
      <c r="S116" s="190">
        <f t="shared" si="6"/>
        <v>-1.2720583650316364E-4</v>
      </c>
      <c r="T116" s="190">
        <f t="shared" si="6"/>
        <v>2.9442644923489247E-2</v>
      </c>
    </row>
    <row r="117">
      <c r="N117" s="187">
        <v>45128</v>
      </c>
      <c r="O117" s="188">
        <v>286.7</v>
      </c>
      <c r="P117" s="188">
        <v>4077.98</v>
      </c>
      <c r="Q117" s="188">
        <v>465.4</v>
      </c>
      <c r="R117" s="190">
        <f t="shared" si="6"/>
        <v>-2.1167634004779723E-2</v>
      </c>
      <c r="S117" s="190">
        <f t="shared" si="6"/>
        <v>1.7272260111656168E-2</v>
      </c>
      <c r="T117" s="190">
        <f t="shared" si="6"/>
        <v>9.9168890914220764E-3</v>
      </c>
    </row>
    <row r="118">
      <c r="N118" s="187">
        <v>45135</v>
      </c>
      <c r="O118" s="188">
        <v>292.2</v>
      </c>
      <c r="P118" s="188">
        <v>4155.84</v>
      </c>
      <c r="Q118" s="188">
        <v>470.78</v>
      </c>
      <c r="R118" s="190">
        <f t="shared" si="6"/>
        <v>1.9183815835367879E-2</v>
      </c>
      <c r="S118" s="190">
        <f t="shared" si="6"/>
        <v>1.9092786134311535E-2</v>
      </c>
      <c r="T118" s="190">
        <f t="shared" si="6"/>
        <v>1.1559948431456801E-2</v>
      </c>
    </row>
    <row r="119">
      <c r="N119" s="187">
        <v>45142</v>
      </c>
      <c r="O119" s="188">
        <v>285.39999999999998</v>
      </c>
      <c r="P119" s="188">
        <v>4058.39</v>
      </c>
      <c r="Q119" s="188">
        <v>459.28</v>
      </c>
      <c r="R119" s="190">
        <f t="shared" si="6"/>
        <v>-2.327173169062291E-2</v>
      </c>
      <c r="S119" s="190">
        <f t="shared" si="6"/>
        <v>-2.3448929698929755E-2</v>
      </c>
      <c r="T119" s="190">
        <f t="shared" si="6"/>
        <v>-2.4427545775096648E-2</v>
      </c>
    </row>
    <row r="120">
      <c r="N120" s="187">
        <v>45149</v>
      </c>
      <c r="O120" s="188">
        <v>285.2</v>
      </c>
      <c r="P120" s="188">
        <v>4077.88</v>
      </c>
      <c r="Q120" s="188">
        <v>459.17</v>
      </c>
      <c r="R120" s="190">
        <f t="shared" si="6"/>
        <v>-7.0077084793274125E-4</v>
      </c>
      <c r="S120" s="190">
        <f t="shared" si="6"/>
        <v>4.8023970096515711E-3</v>
      </c>
      <c r="T120" s="190">
        <f t="shared" si="6"/>
        <v>-2.3950531266325736E-4</v>
      </c>
    </row>
    <row r="121">
      <c r="N121" s="187">
        <v>45156</v>
      </c>
      <c r="O121" s="188">
        <v>279.60000000000002</v>
      </c>
      <c r="P121" s="188">
        <v>4018.86</v>
      </c>
      <c r="Q121" s="188">
        <v>448.44</v>
      </c>
      <c r="R121" s="190">
        <f t="shared" si="6"/>
        <v>-1.9635343618513157E-2</v>
      </c>
      <c r="S121" s="190">
        <f t="shared" si="6"/>
        <v>-1.4473206666208882E-2</v>
      </c>
      <c r="T121" s="190">
        <f t="shared" si="6"/>
        <v>-2.3368251410153196E-2</v>
      </c>
    </row>
    <row r="122">
      <c r="N122" s="187">
        <v>45163</v>
      </c>
      <c r="O122" s="188">
        <v>286.8</v>
      </c>
      <c r="P122" s="188">
        <v>4080.87</v>
      </c>
      <c r="Q122" s="188">
        <v>451.39</v>
      </c>
      <c r="R122" s="190">
        <f t="shared" si="6"/>
        <v>2.5751072961373245E-2</v>
      </c>
      <c r="S122" s="190">
        <f t="shared" si="6"/>
        <v>1.5429748734715698E-2</v>
      </c>
      <c r="T122" s="190">
        <f t="shared" si="6"/>
        <v>6.5783605387566002E-3</v>
      </c>
    </row>
    <row r="123">
      <c r="N123" s="187">
        <v>45170</v>
      </c>
      <c r="O123" s="188">
        <v>284.2</v>
      </c>
      <c r="P123" s="188">
        <v>4187.47</v>
      </c>
      <c r="Q123" s="188">
        <v>458.13</v>
      </c>
      <c r="R123" s="190">
        <f t="shared" si="6"/>
        <v>-9.0655509065551421E-3</v>
      </c>
      <c r="S123" s="190">
        <f t="shared" si="6"/>
        <v>2.6121880873441361E-2</v>
      </c>
      <c r="T123" s="190">
        <f t="shared" si="6"/>
        <v>1.4931655552847811E-2</v>
      </c>
    </row>
    <row r="124">
      <c r="N124" s="187">
        <v>45177</v>
      </c>
      <c r="O124" s="188">
        <v>279.3</v>
      </c>
      <c r="P124" s="188">
        <v>4163.93</v>
      </c>
      <c r="Q124" s="188">
        <v>454.66</v>
      </c>
      <c r="R124" s="190">
        <f t="shared" si="6"/>
        <v>-1.7241379310344751E-2</v>
      </c>
      <c r="S124" s="190">
        <f t="shared" si="6"/>
        <v>-5.6215328109813223E-3</v>
      </c>
      <c r="T124" s="190">
        <f t="shared" si="6"/>
        <v>-7.5742693122038407E-3</v>
      </c>
    </row>
    <row r="125">
      <c r="N125" s="187">
        <v>45184</v>
      </c>
      <c r="O125" s="188">
        <v>284</v>
      </c>
      <c r="P125" s="188">
        <v>4170.09</v>
      </c>
      <c r="Q125" s="188">
        <v>461.93</v>
      </c>
      <c r="R125" s="190">
        <f t="shared" si="6"/>
        <v>1.6827783745076985E-2</v>
      </c>
      <c r="S125" s="190">
        <f t="shared" si="6"/>
        <v>1.4793716513006316E-3</v>
      </c>
      <c r="T125" s="190">
        <f t="shared" si="6"/>
        <v>1.5989970527427122E-2</v>
      </c>
    </row>
    <row r="126">
      <c r="N126" s="187">
        <v>45191</v>
      </c>
      <c r="O126" s="188">
        <v>273</v>
      </c>
      <c r="P126" s="188">
        <v>4054.11</v>
      </c>
      <c r="Q126" s="188">
        <v>453.26</v>
      </c>
      <c r="R126" s="190">
        <f t="shared" si="6"/>
        <v>-3.8732394366197131E-2</v>
      </c>
      <c r="S126" s="190">
        <f t="shared" si="6"/>
        <v>-2.7812349373754541E-2</v>
      </c>
      <c r="T126" s="190">
        <f t="shared" si="6"/>
        <v>-1.8769077565864989E-2</v>
      </c>
    </row>
    <row r="127">
      <c r="N127" s="187">
        <v>45198</v>
      </c>
      <c r="O127" s="188">
        <v>279.7</v>
      </c>
      <c r="P127" s="188">
        <v>4053.74</v>
      </c>
      <c r="Q127" s="188">
        <v>450.22</v>
      </c>
      <c r="R127" s="190">
        <f t="shared" si="6"/>
        <v>2.4542124542124455E-2</v>
      </c>
      <c r="S127" s="190">
        <f t="shared" si="6"/>
        <v>-9.1265407204166316E-5</v>
      </c>
      <c r="T127" s="190">
        <f t="shared" si="6"/>
        <v>-6.7069673035342614E-3</v>
      </c>
    </row>
    <row r="128">
      <c r="N128" s="187">
        <v>45205</v>
      </c>
      <c r="O128" s="188">
        <v>286.2</v>
      </c>
      <c r="P128" s="188">
        <v>4072.69</v>
      </c>
      <c r="Q128" s="188">
        <v>444.93</v>
      </c>
      <c r="R128" s="190">
        <f t="shared" si="6"/>
        <v>2.3239184840901039E-2</v>
      </c>
      <c r="S128" s="190">
        <f t="shared" si="6"/>
        <v>4.6746954664089735E-3</v>
      </c>
      <c r="T128" s="190">
        <f t="shared" si="6"/>
        <v>-1.1749811203411675E-2</v>
      </c>
    </row>
    <row r="129">
      <c r="N129" s="187">
        <v>45212</v>
      </c>
      <c r="O129" s="188">
        <v>297.2</v>
      </c>
      <c r="P129" s="188">
        <v>4118.17</v>
      </c>
      <c r="Q129" s="188">
        <v>449.18</v>
      </c>
      <c r="R129" s="190">
        <f t="shared" si="6"/>
        <v>3.8434661076170551E-2</v>
      </c>
      <c r="S129" s="190">
        <f t="shared" si="6"/>
        <v>1.1167066484313759E-2</v>
      </c>
      <c r="T129" s="190">
        <f t="shared" si="6"/>
        <v>9.5520643696760388E-3</v>
      </c>
    </row>
    <row r="130">
      <c r="N130" s="187">
        <v>45219</v>
      </c>
      <c r="O130" s="188">
        <v>284.39999999999998</v>
      </c>
      <c r="P130" s="188">
        <v>3988.82</v>
      </c>
      <c r="Q130" s="188">
        <v>433.73</v>
      </c>
      <c r="R130" s="190">
        <f t="shared" si="6"/>
        <v>-4.3068640646029666E-2</v>
      </c>
      <c r="S130" s="190">
        <f t="shared" si="6"/>
        <v>-3.1409582411605186E-2</v>
      </c>
      <c r="T130" s="190">
        <f t="shared" si="6"/>
        <v>-3.4396010508036867E-2</v>
      </c>
    </row>
    <row r="131">
      <c r="N131" s="187">
        <v>45226</v>
      </c>
      <c r="O131" s="188">
        <v>282.60000000000002</v>
      </c>
      <c r="P131" s="188">
        <v>3890.55</v>
      </c>
      <c r="Q131" s="188">
        <v>429.58</v>
      </c>
      <c r="R131" s="190">
        <f t="shared" si="6"/>
        <v>-6.3291139240504446E-3</v>
      </c>
      <c r="S131" s="190">
        <f t="shared" si="6"/>
        <v>-2.4636358622349475E-2</v>
      </c>
      <c r="T131" s="190">
        <f t="shared" si="6"/>
        <v>-9.5681645263182569E-3</v>
      </c>
    </row>
    <row r="132">
      <c r="N132" s="187">
        <v>45233</v>
      </c>
      <c r="O132" s="188">
        <v>308.7</v>
      </c>
      <c r="P132" s="188">
        <v>4059.18</v>
      </c>
      <c r="Q132" s="188">
        <v>444.24</v>
      </c>
      <c r="R132" s="190">
        <f t="shared" si="6"/>
        <v>9.235668789808904E-2</v>
      </c>
      <c r="S132" s="190">
        <f t="shared" si="6"/>
        <v>4.3343486139491683E-2</v>
      </c>
      <c r="T132" s="190">
        <f t="shared" si="6"/>
        <v>3.4126355975604206E-2</v>
      </c>
    </row>
    <row r="133">
      <c r="N133" s="187">
        <v>45240</v>
      </c>
      <c r="O133" s="188">
        <v>314.7</v>
      </c>
      <c r="P133" s="188">
        <v>4134.51</v>
      </c>
      <c r="Q133" s="188">
        <v>443.31</v>
      </c>
      <c r="R133" s="190">
        <f t="shared" si="6"/>
        <v>1.9436345966958202E-2</v>
      </c>
      <c r="S133" s="190">
        <f t="shared" si="6"/>
        <v>1.8557935346547927E-2</v>
      </c>
      <c r="T133" s="190">
        <f t="shared" si="6"/>
        <v>-2.0934629929767468E-3</v>
      </c>
    </row>
    <row r="134">
      <c r="N134" s="187">
        <v>45247</v>
      </c>
      <c r="O134" s="188">
        <v>329.6</v>
      </c>
      <c r="P134" s="188">
        <v>4145.1099999999997</v>
      </c>
      <c r="Q134" s="188">
        <v>455.82</v>
      </c>
      <c r="R134" s="190">
        <f t="shared" si="6"/>
        <v>4.7346679377184619E-2</v>
      </c>
      <c r="S134" s="190">
        <f t="shared" si="6"/>
        <v>2.5637862769709585E-3</v>
      </c>
      <c r="T134" s="190">
        <f t="shared" si="6"/>
        <v>2.8219530351221378E-2</v>
      </c>
    </row>
    <row r="135">
      <c r="N135" s="187">
        <v>45254</v>
      </c>
      <c r="O135" s="188">
        <v>336</v>
      </c>
      <c r="P135" s="188">
        <v>4167.21</v>
      </c>
      <c r="Q135" s="188">
        <v>459.98</v>
      </c>
      <c r="R135" s="190">
        <f t="shared" si="6"/>
        <v>1.9417475728155331E-2</v>
      </c>
      <c r="S135" s="190">
        <f t="shared" si="6"/>
        <v>5.3315834802938333E-3</v>
      </c>
      <c r="T135" s="190">
        <f t="shared" si="6"/>
        <v>9.1264095476284446E-3</v>
      </c>
    </row>
    <row r="136">
      <c r="N136" s="187">
        <v>45261</v>
      </c>
      <c r="O136" s="188">
        <v>328.8</v>
      </c>
      <c r="P136" s="188">
        <v>4222.2299999999996</v>
      </c>
      <c r="Q136" s="188">
        <v>466.2</v>
      </c>
      <c r="R136" s="190">
        <f t="shared" si="6"/>
        <v>-2.1428571428571352E-2</v>
      </c>
      <c r="S136" s="190">
        <f t="shared" si="6"/>
        <v>1.3203078318587247E-2</v>
      </c>
      <c r="T136" s="190">
        <f t="shared" si="6"/>
        <v>1.3522327057698069E-2</v>
      </c>
    </row>
    <row r="137">
      <c r="N137" s="187">
        <v>45268</v>
      </c>
      <c r="O137" s="188">
        <v>340.7</v>
      </c>
      <c r="P137" s="188">
        <v>4280.75</v>
      </c>
      <c r="Q137" s="188">
        <v>472.26</v>
      </c>
      <c r="R137" s="190">
        <f t="shared" si="6"/>
        <v>3.6192214111921972E-2</v>
      </c>
      <c r="S137" s="190">
        <f t="shared" si="6"/>
        <v>1.3859974468468206E-2</v>
      </c>
      <c r="T137" s="190">
        <f t="shared" si="6"/>
        <v>1.2998712998713025E-2</v>
      </c>
    </row>
    <row r="138">
      <c r="N138" s="187">
        <v>45275</v>
      </c>
      <c r="O138" s="188">
        <v>327.5</v>
      </c>
      <c r="P138" s="188">
        <v>4325.5600000000004</v>
      </c>
      <c r="Q138" s="188">
        <v>476.61</v>
      </c>
      <c r="R138" s="190" t="n">
        <f t="shared" ref="R138:T201" si="7">O138/O137-1</f>
        <v>-0.038743762841209284</v>
      </c>
      <c r="S138" s="190">
        <f t="shared" si="7"/>
        <v>1.0467791858903341E-2</v>
      </c>
      <c r="T138" s="190">
        <f t="shared" si="7"/>
        <v>9.2110278236565701E-3</v>
      </c>
    </row>
    <row r="139">
      <c r="N139" s="187">
        <v>45282</v>
      </c>
      <c r="O139" s="188">
        <v>304.89999999999998</v>
      </c>
      <c r="P139" s="188">
        <v>4316.1099999999997</v>
      </c>
      <c r="Q139" s="188">
        <v>477.6</v>
      </c>
      <c r="R139" s="190">
        <f t="shared" si="7"/>
        <v>-6.9007633587786277E-2</v>
      </c>
      <c r="S139" s="190">
        <f t="shared" si="7"/>
        <v>-2.1846882253397926E-3</v>
      </c>
      <c r="T139" s="190">
        <f t="shared" si="7"/>
        <v>2.0771700132182769E-3</v>
      </c>
    </row>
    <row r="140">
      <c r="N140" s="187">
        <v>45289</v>
      </c>
      <c r="O140" s="188">
        <v>305.2</v>
      </c>
      <c r="P140" s="188">
        <v>4311.13</v>
      </c>
      <c r="Q140" s="188">
        <v>478.99</v>
      </c>
      <c r="R140" s="190">
        <f t="shared" si="7"/>
        <v>9.8392915710077133E-4</v>
      </c>
      <c r="S140" s="190">
        <f t="shared" si="7"/>
        <v>-1.1538167470244165E-3</v>
      </c>
      <c r="T140" s="190">
        <f t="shared" si="7"/>
        <v>2.9103852596314983E-3</v>
      </c>
    </row>
    <row r="141">
      <c r="N141" s="187">
        <v>45296</v>
      </c>
      <c r="O141" s="188">
        <v>305.60000000000002</v>
      </c>
      <c r="P141" s="188">
        <v>4291.28</v>
      </c>
      <c r="Q141" s="188">
        <v>476.38</v>
      </c>
      <c r="R141" s="190">
        <f t="shared" si="7"/>
        <v>1.3106159895150959E-3</v>
      </c>
      <c r="S141" s="190">
        <f t="shared" si="7"/>
        <v>-4.6043612695512159E-3</v>
      </c>
      <c r="T141" s="190">
        <f t="shared" si="7"/>
        <v>-5.448965531639538E-3</v>
      </c>
    </row>
    <row r="142">
      <c r="N142" s="187">
        <v>45303</v>
      </c>
      <c r="O142" s="188">
        <v>319.3</v>
      </c>
      <c r="P142" s="188">
        <v>4368.79</v>
      </c>
      <c r="Q142" s="188">
        <v>476.76</v>
      </c>
      <c r="R142" s="190">
        <f t="shared" si="7"/>
        <v>4.4829842931937147E-2</v>
      </c>
      <c r="S142" s="190">
        <f t="shared" si="7"/>
        <v>1.8062209876773316E-2</v>
      </c>
      <c r="T142" s="190">
        <f t="shared" si="7"/>
        <v>7.9768252235612458E-4</v>
      </c>
    </row>
    <row r="143">
      <c r="N143" s="187">
        <v>45310</v>
      </c>
      <c r="O143" s="188">
        <v>319.5</v>
      </c>
      <c r="P143" s="188">
        <v>4444.2700000000004</v>
      </c>
      <c r="Q143" s="188">
        <v>469.24</v>
      </c>
      <c r="R143" s="190">
        <f t="shared" si="7"/>
        <v>6.2637018477906814E-4</v>
      </c>
      <c r="S143" s="190">
        <f t="shared" si="7"/>
        <v>1.7277095030889589E-2</v>
      </c>
      <c r="T143" s="190">
        <f t="shared" si="7"/>
        <v>-1.5773135330145127E-2</v>
      </c>
    </row>
    <row r="144">
      <c r="N144" s="187">
        <v>45317</v>
      </c>
      <c r="O144" s="188">
        <v>313.2</v>
      </c>
      <c r="P144" s="188">
        <v>4502</v>
      </c>
      <c r="Q144" s="188">
        <v>483.84</v>
      </c>
      <c r="R144" s="190">
        <f t="shared" si="7"/>
        <v>-1.9718309859155014E-2</v>
      </c>
      <c r="S144" s="190">
        <f t="shared" si="7"/>
        <v>1.2989759848073934E-2</v>
      </c>
      <c r="T144" s="190">
        <f t="shared" si="7"/>
        <v>3.1114142016878343E-2</v>
      </c>
    </row>
    <row r="145">
      <c r="N145" s="187">
        <v>45324</v>
      </c>
      <c r="O145" s="188">
        <v>347.5</v>
      </c>
      <c r="P145" s="188">
        <v>4598.12</v>
      </c>
      <c r="Q145" s="188">
        <v>483.93</v>
      </c>
      <c r="R145" s="190">
        <f t="shared" si="7"/>
        <v>0.10951468710089407</v>
      </c>
      <c r="S145" s="190">
        <f t="shared" si="7"/>
        <v>2.1350510884051488E-2</v>
      </c>
      <c r="T145" s="190">
        <f t="shared" si="7"/>
        <v>1.8601190476186247E-4</v>
      </c>
    </row>
    <row r="146">
      <c r="N146" s="187">
        <v>45331</v>
      </c>
      <c r="O146" s="188">
        <v>362.4</v>
      </c>
      <c r="P146" s="188">
        <v>4660.3100000000004</v>
      </c>
      <c r="Q146" s="188">
        <v>484.83</v>
      </c>
      <c r="R146" s="190">
        <f t="shared" si="7"/>
        <v>4.2877697841726459E-2</v>
      </c>
      <c r="S146" s="190">
        <f t="shared" si="7"/>
        <v>1.3525092864040245E-2</v>
      </c>
      <c r="T146" s="190">
        <f t="shared" si="7"/>
        <v>1.8597731076808177E-3</v>
      </c>
    </row>
    <row r="147">
      <c r="N147" s="187">
        <v>45338</v>
      </c>
      <c r="O147" s="188">
        <v>363</v>
      </c>
      <c r="P147" s="188">
        <v>4644.25</v>
      </c>
      <c r="Q147" s="188">
        <v>491.59</v>
      </c>
      <c r="R147" s="190">
        <f t="shared" si="7"/>
        <v>1.6556291390728006E-3</v>
      </c>
      <c r="S147" s="190">
        <f t="shared" si="7"/>
        <v>-3.4461226828259583E-3</v>
      </c>
      <c r="T147" s="190">
        <f t="shared" si="7"/>
        <v>1.3943031578078857E-2</v>
      </c>
    </row>
    <row r="148">
      <c r="N148" s="187">
        <v>45345</v>
      </c>
      <c r="O148" s="188">
        <v>386</v>
      </c>
      <c r="P148" s="188">
        <v>4700.97</v>
      </c>
      <c r="Q148" s="188">
        <v>497.25</v>
      </c>
      <c r="R148" s="190">
        <f t="shared" si="7"/>
        <v>6.336088154269981E-2</v>
      </c>
      <c r="S148" s="190">
        <f t="shared" si="7"/>
        <v>1.2212951499165792E-2</v>
      </c>
      <c r="T148" s="190">
        <f t="shared" si="7"/>
        <v>1.1513659757114825E-2</v>
      </c>
    </row>
    <row r="149">
      <c r="N149" s="187">
        <v>45352</v>
      </c>
      <c r="O149" s="188">
        <v>392.3</v>
      </c>
      <c r="P149" s="188">
        <v>4739.88</v>
      </c>
      <c r="Q149" s="188">
        <v>497.58</v>
      </c>
      <c r="R149" s="190">
        <f t="shared" si="7"/>
        <v>1.6321243523315987E-2</v>
      </c>
      <c r="S149" s="190">
        <f t="shared" si="7"/>
        <v>8.277015169209756E-3</v>
      </c>
      <c r="T149" s="190">
        <f t="shared" si="7"/>
        <v>6.6365007541469012E-4</v>
      </c>
    </row>
    <row r="150">
      <c r="N150" s="187">
        <v>45359</v>
      </c>
      <c r="O150" s="188">
        <v>387.3</v>
      </c>
      <c r="P150" s="188">
        <v>4683.87</v>
      </c>
      <c r="Q150" s="188">
        <v>503.26</v>
      </c>
      <c r="R150" s="190">
        <f t="shared" si="7"/>
        <v>-1.2745347947998975E-2</v>
      </c>
      <c r="S150" s="190">
        <f t="shared" si="7"/>
        <v>-1.1816754854553357E-2</v>
      </c>
      <c r="T150" s="190">
        <f t="shared" si="7"/>
        <v>1.1415249809076045E-2</v>
      </c>
    </row>
    <row r="151">
      <c r="N151" s="187">
        <v>45366</v>
      </c>
      <c r="O151" s="188">
        <v>388.2</v>
      </c>
      <c r="P151" s="188">
        <v>4701.4799999999996</v>
      </c>
      <c r="Q151" s="188">
        <v>504.8</v>
      </c>
      <c r="R151" s="190">
        <f t="shared" si="7"/>
        <v>2.3237800154918276E-3</v>
      </c>
      <c r="S151" s="190">
        <f t="shared" si="7"/>
        <v>3.7597115206013942E-3</v>
      </c>
      <c r="T151" s="190">
        <f t="shared" si="7"/>
        <v>3.0600484838851916E-3</v>
      </c>
    </row>
    <row r="152">
      <c r="N152" s="187">
        <v>45373</v>
      </c>
      <c r="O152" s="188">
        <v>401.5</v>
      </c>
      <c r="P152" s="188">
        <v>4843.7700000000004</v>
      </c>
      <c r="Q152" s="188">
        <v>509.64</v>
      </c>
      <c r="R152" s="190">
        <f t="shared" si="7"/>
        <v>3.4260690365790936E-2</v>
      </c>
      <c r="S152" s="190">
        <f t="shared" si="7"/>
        <v>3.0264937849358242E-2</v>
      </c>
      <c r="T152" s="190">
        <f t="shared" si="7"/>
        <v>9.587955625990352E-3</v>
      </c>
    </row>
    <row r="153">
      <c r="N153" s="187">
        <v>45380</v>
      </c>
      <c r="O153" s="188">
        <v>404</v>
      </c>
      <c r="P153" s="188">
        <v>4866.9399999999996</v>
      </c>
      <c r="Q153" s="188">
        <v>512.66999999999996</v>
      </c>
      <c r="R153" s="190">
        <f t="shared" si="7"/>
        <v>6.2266500622665255E-3</v>
      </c>
      <c r="S153" s="190">
        <f t="shared" si="7"/>
        <v>4.7834641198898353E-3</v>
      </c>
      <c r="T153" s="190">
        <f t="shared" si="7"/>
        <v>5.9453732046150787E-3</v>
      </c>
    </row>
    <row r="154">
      <c r="N154" s="187">
        <v>45387</v>
      </c>
      <c r="O154" s="188">
        <v>387.5</v>
      </c>
      <c r="P154" s="188">
        <v>4802.82</v>
      </c>
      <c r="Q154" s="188">
        <v>506.55</v>
      </c>
      <c r="R154" s="190">
        <f t="shared" si="7"/>
        <v>-4.0841584158415878E-2</v>
      </c>
      <c r="S154" s="190">
        <f t="shared" si="7"/>
        <v>-1.3174602522324053E-2</v>
      </c>
      <c r="T154" s="190">
        <f t="shared" si="7"/>
        <v>-1.1937503657323378E-2</v>
      </c>
    </row>
    <row r="155">
      <c r="N155" s="187">
        <v>45394</v>
      </c>
      <c r="O155" s="188">
        <v>387.6</v>
      </c>
      <c r="P155" s="188">
        <v>4814.33</v>
      </c>
      <c r="Q155" s="188">
        <v>505.25</v>
      </c>
      <c r="R155" s="190">
        <f t="shared" si="7"/>
        <v>2.5806451612919723E-4</v>
      </c>
      <c r="S155" s="190">
        <f t="shared" si="7"/>
        <v>2.396508717795065E-3</v>
      </c>
      <c r="T155" s="190">
        <f t="shared" si="7"/>
        <v>-2.5663804165433346E-3</v>
      </c>
    </row>
    <row r="156">
      <c r="N156" s="187">
        <v>45401</v>
      </c>
      <c r="O156" s="188">
        <v>387.2</v>
      </c>
      <c r="P156" s="188">
        <v>4662.3100000000004</v>
      </c>
      <c r="Q156" s="188">
        <v>499.29</v>
      </c>
      <c r="R156" s="190">
        <f t="shared" si="7"/>
        <v>-1.0319917440660964E-3</v>
      </c>
      <c r="S156" s="190">
        <f t="shared" si="7"/>
        <v>-3.1576564132495988E-2</v>
      </c>
      <c r="T156" s="190">
        <f t="shared" si="7"/>
        <v>-1.1796140524492738E-2</v>
      </c>
    </row>
    <row r="157">
      <c r="N157" s="187">
        <v>45408</v>
      </c>
      <c r="O157" s="188">
        <v>394.5</v>
      </c>
      <c r="P157" s="188">
        <v>4768.55</v>
      </c>
      <c r="Q157" s="188">
        <v>507.98</v>
      </c>
      <c r="R157" s="190">
        <f t="shared" si="7"/>
        <v>1.8853305785123897E-2</v>
      </c>
      <c r="S157" s="190">
        <f t="shared" si="7"/>
        <v>2.2786987566249195E-2</v>
      </c>
      <c r="T157" s="190">
        <f t="shared" si="7"/>
        <v>1.7404714694866597E-2</v>
      </c>
    </row>
    <row r="158">
      <c r="N158" s="187">
        <v>45415</v>
      </c>
      <c r="O158" s="188">
        <v>399.1</v>
      </c>
      <c r="P158" s="188">
        <v>4763.83</v>
      </c>
      <c r="Q158" s="188">
        <v>505.53</v>
      </c>
      <c r="R158" s="190">
        <f t="shared" si="7"/>
        <v>1.1660329531052005E-2</v>
      </c>
      <c r="S158" s="190">
        <f t="shared" si="7"/>
        <v>-9.8981870799308425E-4</v>
      </c>
      <c r="T158" s="190">
        <f t="shared" si="7"/>
        <v>-4.8230245285247886E-3</v>
      </c>
    </row>
    <row r="159">
      <c r="N159" s="187">
        <v>45422</v>
      </c>
      <c r="O159" s="188">
        <v>374.5</v>
      </c>
      <c r="P159" s="188">
        <v>4846.59</v>
      </c>
      <c r="Q159" s="188">
        <v>520.76</v>
      </c>
      <c r="R159" s="190">
        <f t="shared" si="7"/>
        <v>-6.163868704585318E-2</v>
      </c>
      <c r="S159" s="190">
        <f t="shared" si="7"/>
        <v>1.7372576267415063E-2</v>
      </c>
      <c r="T159" s="190">
        <f t="shared" si="7"/>
        <v>3.012679761834125E-2</v>
      </c>
    </row>
    <row r="160">
      <c r="N160" s="187">
        <v>45429</v>
      </c>
      <c r="O160" s="188">
        <v>388.2</v>
      </c>
      <c r="P160" s="188">
        <v>4879.26</v>
      </c>
      <c r="Q160" s="188">
        <v>522.94000000000005</v>
      </c>
      <c r="R160" s="190">
        <f t="shared" si="7"/>
        <v>3.6582109479305736E-2</v>
      </c>
      <c r="S160" s="190">
        <f t="shared" si="7"/>
        <v>6.7408218974578382E-3</v>
      </c>
      <c r="T160" s="190">
        <f t="shared" si="7"/>
        <v>4.1861894154697765E-3</v>
      </c>
    </row>
    <row r="161">
      <c r="N161" s="187">
        <v>45436</v>
      </c>
      <c r="O161" s="188">
        <v>384.1</v>
      </c>
      <c r="P161" s="188">
        <v>4890.5</v>
      </c>
      <c r="Q161" s="188">
        <v>520.57000000000005</v>
      </c>
      <c r="R161" s="190">
        <f t="shared" si="7"/>
        <v>-1.0561566202988093E-2</v>
      </c>
      <c r="S161" s="190">
        <f t="shared" si="7"/>
        <v>2.3036280091652817E-3</v>
      </c>
      <c r="T161" s="190">
        <f t="shared" si="7"/>
        <v>-4.5320686885684802E-3</v>
      </c>
    </row>
    <row r="162">
      <c r="N162" s="187">
        <v>45443</v>
      </c>
      <c r="O162" s="188">
        <v>377.4</v>
      </c>
      <c r="P162" s="188">
        <v>4865.41</v>
      </c>
      <c r="Q162" s="188">
        <v>518.16999999999996</v>
      </c>
      <c r="R162" s="190">
        <f t="shared" si="7"/>
        <v>-1.7443374121322686E-2</v>
      </c>
      <c r="S162" s="190">
        <f t="shared" si="7"/>
        <v>-5.1303547694510065E-3</v>
      </c>
      <c r="T162" s="190">
        <f t="shared" si="7"/>
        <v>-4.6103309833454009E-3</v>
      </c>
    </row>
    <row r="163">
      <c r="N163" s="187">
        <v>45450</v>
      </c>
      <c r="O163" s="188">
        <v>382.8</v>
      </c>
      <c r="P163" s="188">
        <v>4948.63</v>
      </c>
      <c r="Q163" s="188">
        <v>523.54999999999995</v>
      </c>
      <c r="R163" s="190">
        <f t="shared" si="7"/>
        <v>1.4308426073132097E-2</v>
      </c>
      <c r="S163" s="190">
        <f t="shared" si="7"/>
        <v>1.7104416688418889E-2</v>
      </c>
      <c r="T163" s="190">
        <f t="shared" si="7"/>
        <v>1.0382692938610827E-2</v>
      </c>
    </row>
    <row r="164">
      <c r="N164" s="187">
        <v>45457</v>
      </c>
      <c r="O164" s="188">
        <v>379.7</v>
      </c>
      <c r="P164" s="188">
        <v>5075.79</v>
      </c>
      <c r="Q164" s="188">
        <v>511.05</v>
      </c>
      <c r="R164" s="190">
        <f t="shared" si="7"/>
        <v>-8.0982236154650833E-3</v>
      </c>
      <c r="S164" s="190">
        <f t="shared" si="7"/>
        <v>2.5696000711307843E-2</v>
      </c>
      <c r="T164" s="190">
        <f t="shared" si="7"/>
        <v>-2.3875465571578491E-2</v>
      </c>
    </row>
    <row r="165">
      <c r="N165" s="187">
        <v>45464</v>
      </c>
      <c r="O165" s="188">
        <v>386.1</v>
      </c>
      <c r="P165" s="188">
        <v>5110.9399999999996</v>
      </c>
      <c r="Q165" s="188">
        <v>515.11</v>
      </c>
      <c r="R165" s="190">
        <f t="shared" si="7"/>
        <v>1.6855412167500639E-2</v>
      </c>
      <c r="S165" s="190">
        <f t="shared" si="7"/>
        <v>6.925030389357989E-3</v>
      </c>
      <c r="T165" s="190">
        <f t="shared" si="7"/>
        <v>7.9444281381468862E-3</v>
      </c>
    </row>
    <row r="166">
      <c r="N166" s="187">
        <v>45471</v>
      </c>
      <c r="O166" s="188">
        <v>380.7</v>
      </c>
      <c r="P166" s="188">
        <v>5095.63</v>
      </c>
      <c r="Q166" s="188">
        <v>511.42</v>
      </c>
      <c r="R166" s="190">
        <f t="shared" si="7"/>
        <v>-1.3986013986014068E-2</v>
      </c>
      <c r="S166" s="190">
        <f t="shared" si="7"/>
        <v>-2.9955350679130577E-3</v>
      </c>
      <c r="T166" s="190">
        <f t="shared" si="7"/>
        <v>-7.1635184717827594E-3</v>
      </c>
    </row>
    <row r="167">
      <c r="N167" s="187">
        <v>45478</v>
      </c>
      <c r="O167" s="188">
        <v>387.9</v>
      </c>
      <c r="P167" s="188">
        <v>5142.43</v>
      </c>
      <c r="Q167" s="188">
        <v>516.6</v>
      </c>
      <c r="R167" s="190">
        <f t="shared" si="7"/>
        <v>1.891252955082745E-2</v>
      </c>
      <c r="S167" s="190">
        <f t="shared" si="7"/>
        <v>9.1843403072828789E-3</v>
      </c>
      <c r="T167" s="190">
        <f t="shared" si="7"/>
        <v>1.0128661374213088E-2</v>
      </c>
    </row>
    <row r="168">
      <c r="N168" s="187">
        <v>45485</v>
      </c>
      <c r="O168" s="188">
        <v>398.4</v>
      </c>
      <c r="P168" s="188">
        <v>5149.34</v>
      </c>
      <c r="Q168" s="188">
        <v>524.08000000000004</v>
      </c>
      <c r="R168" s="190">
        <f t="shared" si="7"/>
        <v>2.7068832173240631E-2</v>
      </c>
      <c r="S168" s="190">
        <f t="shared" si="7"/>
        <v>1.3437227147476971E-3</v>
      </c>
      <c r="T168" s="190">
        <f t="shared" si="7"/>
        <v>1.447928765001949E-2</v>
      </c>
    </row>
    <row r="169">
      <c r="N169" s="187">
        <v>45492</v>
      </c>
      <c r="O169" s="188">
        <v>383.7</v>
      </c>
      <c r="P169" s="188">
        <v>5057.42</v>
      </c>
      <c r="Q169" s="188">
        <v>510.03</v>
      </c>
      <c r="R169" s="190">
        <f t="shared" si="7"/>
        <v>-3.6897590361445798E-2</v>
      </c>
      <c r="S169" s="190">
        <f t="shared" si="7"/>
        <v>-1.7850831368680264E-2</v>
      </c>
      <c r="T169" s="190">
        <f t="shared" si="7"/>
        <v>-2.6808884139826072E-2</v>
      </c>
    </row>
    <row r="170">
      <c r="N170" s="187">
        <v>45499</v>
      </c>
      <c r="O170" s="188">
        <v>380.5</v>
      </c>
      <c r="P170" s="188">
        <v>5024.4799999999996</v>
      </c>
      <c r="Q170" s="188">
        <v>512.83000000000004</v>
      </c>
      <c r="R170" s="190">
        <f t="shared" si="7"/>
        <v>-8.3398488402397497E-3</v>
      </c>
      <c r="S170" s="190">
        <f t="shared" si="7"/>
        <v>-6.5132023838242459E-3</v>
      </c>
      <c r="T170" s="190">
        <f t="shared" si="7"/>
        <v>5.4898731447170501E-3</v>
      </c>
    </row>
    <row r="171">
      <c r="N171" s="187">
        <v>45506</v>
      </c>
      <c r="O171" s="188">
        <v>392.8</v>
      </c>
      <c r="P171" s="188">
        <v>4899.71</v>
      </c>
      <c r="Q171" s="188">
        <v>497.85</v>
      </c>
      <c r="R171" s="190">
        <f t="shared" si="7"/>
        <v>3.2325886990801633E-2</v>
      </c>
      <c r="S171" s="190">
        <f t="shared" si="7"/>
        <v>-2.4832420469381833E-2</v>
      </c>
      <c r="T171" s="190">
        <f t="shared" si="7"/>
        <v>-2.9210459606497263E-2</v>
      </c>
    </row>
    <row r="172">
      <c r="N172" s="187">
        <v>45513</v>
      </c>
      <c r="O172" s="188">
        <v>385.7</v>
      </c>
      <c r="P172" s="188">
        <v>4894.37</v>
      </c>
      <c r="Q172" s="188">
        <v>499.19</v>
      </c>
      <c r="R172" s="190">
        <f t="shared" si="7"/>
        <v>-1.8075356415478638E-2</v>
      </c>
      <c r="S172" s="190">
        <f t="shared" si="7"/>
        <v>-1.0898604203106732E-3</v>
      </c>
      <c r="T172" s="190">
        <f t="shared" si="7"/>
        <v>2.6915737671988627E-3</v>
      </c>
    </row>
    <row r="173">
      <c r="N173" s="187">
        <v>45520</v>
      </c>
      <c r="O173" s="188">
        <v>418.5</v>
      </c>
      <c r="P173" s="188">
        <v>5047.4799999999996</v>
      </c>
      <c r="Q173" s="188">
        <v>511.45</v>
      </c>
      <c r="R173" s="190">
        <f t="shared" si="7"/>
        <v>8.5040186673580598E-2</v>
      </c>
      <c r="S173" s="190">
        <f t="shared" si="7"/>
        <v>3.1282882168695902E-2</v>
      </c>
      <c r="T173" s="190">
        <f t="shared" si="7"/>
        <v>2.4559786854704502E-2</v>
      </c>
    </row>
    <row r="174">
      <c r="N174" s="187">
        <v>45527</v>
      </c>
      <c r="O174" s="188">
        <v>431</v>
      </c>
      <c r="P174" s="188">
        <v>5042.6099999999997</v>
      </c>
      <c r="Q174" s="188">
        <v>518.13</v>
      </c>
      <c r="R174" s="190">
        <f t="shared" si="7"/>
        <v>2.9868578255675127E-2</v>
      </c>
      <c r="S174" s="190">
        <f t="shared" si="7"/>
        <v>-9.6483789930812414E-4</v>
      </c>
      <c r="T174" s="190">
        <f t="shared" si="7"/>
        <v>1.3060905269332235E-2</v>
      </c>
    </row>
    <row r="175">
      <c r="N175" s="187">
        <v>45534</v>
      </c>
      <c r="O175" s="188">
        <v>447.2</v>
      </c>
      <c r="P175" s="188">
        <v>5111.67</v>
      </c>
      <c r="Q175" s="188">
        <v>525.04999999999995</v>
      </c>
      <c r="R175" s="190">
        <f t="shared" si="7"/>
        <v>3.7587006960556835E-2</v>
      </c>
      <c r="S175" s="190">
        <f t="shared" si="7"/>
        <v>1.3695288749278722E-2</v>
      </c>
      <c r="T175" s="190">
        <f t="shared" si="7"/>
        <v>1.3355721537065879E-2</v>
      </c>
    </row>
    <row r="176">
      <c r="N176" s="187">
        <v>45541</v>
      </c>
      <c r="O176" s="188">
        <v>425.3</v>
      </c>
      <c r="P176" s="188">
        <v>4882.57</v>
      </c>
      <c r="Q176" s="188">
        <v>506.56</v>
      </c>
      <c r="R176" s="190">
        <f t="shared" si="7"/>
        <v>-4.8971377459749554E-2</v>
      </c>
      <c r="S176" s="190">
        <f t="shared" si="7"/>
        <v>-4.4819012181928852E-2</v>
      </c>
      <c r="T176" s="190">
        <f t="shared" si="7"/>
        <v>-3.5215693743452903E-2</v>
      </c>
    </row>
    <row r="177">
      <c r="N177" s="187">
        <v>45548</v>
      </c>
      <c r="O177" s="188">
        <v>425.4</v>
      </c>
      <c r="P177" s="188">
        <v>5075.8</v>
      </c>
      <c r="Q177" s="188">
        <v>515.95000000000005</v>
      </c>
      <c r="R177" s="190">
        <f t="shared" si="7"/>
        <v>2.3512814483894751E-4</v>
      </c>
      <c r="S177" s="190">
        <f t="shared" si="7"/>
        <v>3.9575469476116121E-2</v>
      </c>
      <c r="T177" s="190">
        <f t="shared" si="7"/>
        <v>1.8536797220467527E-2</v>
      </c>
    </row>
    <row r="178">
      <c r="N178" s="187">
        <v>45555</v>
      </c>
      <c r="O178" s="188">
        <v>420.1</v>
      </c>
      <c r="P178" s="188">
        <v>5103.41</v>
      </c>
      <c r="Q178" s="188">
        <v>514.26</v>
      </c>
      <c r="R178" s="190">
        <f t="shared" si="7"/>
        <v>-1.2458862247296532E-2</v>
      </c>
      <c r="S178" s="190">
        <f t="shared" si="7"/>
        <v>5.4395366247683707E-3</v>
      </c>
      <c r="T178" s="190">
        <f t="shared" si="7"/>
        <v>-3.2755111929451131E-3</v>
      </c>
    </row>
    <row r="179">
      <c r="N179" s="187">
        <v>45562</v>
      </c>
      <c r="O179" s="188">
        <v>424.8</v>
      </c>
      <c r="P179" s="188">
        <v>5145.42</v>
      </c>
      <c r="Q179" s="188">
        <v>528.08000000000004</v>
      </c>
      <c r="R179" s="190">
        <f t="shared" si="7"/>
        <v>1.1187812425612842E-2</v>
      </c>
      <c r="S179" s="190">
        <f t="shared" si="7"/>
        <v>8.2317509273210909E-3</v>
      </c>
      <c r="T179" s="190">
        <f t="shared" si="7"/>
        <v>2.687356590051726E-2</v>
      </c>
    </row>
    <row r="180">
      <c r="N180" s="187">
        <v>45569</v>
      </c>
      <c r="O180" s="188">
        <v>409.6</v>
      </c>
      <c r="P180" s="188">
        <v>5247.33</v>
      </c>
      <c r="Q180" s="188">
        <v>518.55999999999995</v>
      </c>
      <c r="R180" s="190">
        <f t="shared" si="7"/>
        <v>-3.5781544256120457E-2</v>
      </c>
      <c r="S180" s="190">
        <f t="shared" si="7"/>
        <v>1.9805963361591461E-2</v>
      </c>
      <c r="T180" s="190">
        <f t="shared" si="7"/>
        <v>-1.802757158006385E-2</v>
      </c>
    </row>
    <row r="181">
      <c r="N181" s="187">
        <v>45576</v>
      </c>
      <c r="O181" s="188">
        <v>426.8</v>
      </c>
      <c r="P181" s="188">
        <v>5312.96</v>
      </c>
      <c r="Q181" s="188">
        <v>521.98</v>
      </c>
      <c r="R181" s="190">
        <f t="shared" si="7"/>
        <v>4.19921875E-2</v>
      </c>
      <c r="S181" s="190">
        <f t="shared" si="7"/>
        <v>1.2507313243115936E-2</v>
      </c>
      <c r="T181" s="190">
        <f t="shared" si="7"/>
        <v>6.5951866707807394E-3</v>
      </c>
    </row>
    <row r="182">
      <c r="N182" s="187">
        <v>45583</v>
      </c>
      <c r="O182" s="188">
        <v>443.3</v>
      </c>
      <c r="P182" s="188">
        <v>5396.77</v>
      </c>
      <c r="Q182" s="188">
        <v>524.99</v>
      </c>
      <c r="R182" s="190">
        <f t="shared" si="7"/>
        <v>3.8659793814433074E-2</v>
      </c>
      <c r="S182" s="190">
        <f t="shared" si="7"/>
        <v>1.5774634102270646E-2</v>
      </c>
      <c r="T182" s="190">
        <f t="shared" si="7"/>
        <v>5.7665044637724705E-3</v>
      </c>
    </row>
    <row r="183">
      <c r="N183" s="187">
        <v>45590</v>
      </c>
      <c r="O183" s="188">
        <v>450.1</v>
      </c>
      <c r="P183" s="188">
        <v>5375.4</v>
      </c>
      <c r="Q183" s="188">
        <v>518.80999999999995</v>
      </c>
      <c r="R183" s="190">
        <f t="shared" si="7"/>
        <v>1.5339499210466956E-2</v>
      </c>
      <c r="S183" s="190">
        <f t="shared" si="7"/>
        <v>-3.9597759400531451E-3</v>
      </c>
      <c r="T183" s="190">
        <f t="shared" si="7"/>
        <v>-1.1771652793386655E-2</v>
      </c>
    </row>
    <row r="184">
      <c r="N184" s="187">
        <v>45597</v>
      </c>
      <c r="O184" s="188">
        <v>441.3</v>
      </c>
      <c r="P184" s="188">
        <v>5286.82</v>
      </c>
      <c r="Q184" s="188">
        <v>510.9</v>
      </c>
      <c r="R184" s="190">
        <f t="shared" si="7"/>
        <v>-1.9551210842035149E-2</v>
      </c>
      <c r="S184" s="190">
        <f t="shared" si="7"/>
        <v>-1.6478773672656932E-2</v>
      </c>
      <c r="T184" s="190">
        <f t="shared" si="7"/>
        <v>-1.5246429328655942E-2</v>
      </c>
    </row>
    <row r="185">
      <c r="N185" s="187">
        <v>45604</v>
      </c>
      <c r="O185" s="188">
        <v>421.7</v>
      </c>
      <c r="P185" s="188">
        <v>5598.6</v>
      </c>
      <c r="Q185" s="188">
        <v>506.63</v>
      </c>
      <c r="R185" s="190">
        <f t="shared" si="7"/>
        <v>-4.4414230682075728E-2</v>
      </c>
      <c r="S185" s="190">
        <f t="shared" si="7"/>
        <v>5.8973068876943202E-2</v>
      </c>
      <c r="T185" s="190">
        <f t="shared" si="7"/>
        <v>-8.3577999608533959E-3</v>
      </c>
    </row>
    <row r="186">
      <c r="N186" s="187">
        <v>45611</v>
      </c>
      <c r="O186" s="188">
        <v>411</v>
      </c>
      <c r="P186" s="188">
        <v>5565.1</v>
      </c>
      <c r="Q186" s="188">
        <v>503.12</v>
      </c>
      <c r="R186" s="190">
        <f t="shared" si="7"/>
        <v>-2.5373488261797417E-2</v>
      </c>
      <c r="S186" s="190">
        <f t="shared" si="7"/>
        <v>-5.9836387668346092E-3</v>
      </c>
      <c r="T186" s="190">
        <f t="shared" si="7"/>
        <v>-6.9281329569902406E-3</v>
      </c>
    </row>
    <row r="187">
      <c r="N187" s="187">
        <v>45618</v>
      </c>
      <c r="O187" s="188">
        <v>418.2</v>
      </c>
      <c r="P187" s="188">
        <v>5729.28</v>
      </c>
      <c r="Q187" s="188">
        <v>508.47</v>
      </c>
      <c r="R187" s="190">
        <f t="shared" si="7"/>
        <v>1.7518248175182549E-2</v>
      </c>
      <c r="S187" s="190">
        <f t="shared" si="7"/>
        <v>2.9501716051822946E-2</v>
      </c>
      <c r="T187" s="190">
        <f t="shared" si="7"/>
        <v>1.0633646048656464E-2</v>
      </c>
    </row>
    <row r="188">
      <c r="N188" s="187">
        <v>45625</v>
      </c>
      <c r="O188" s="188">
        <v>411.7</v>
      </c>
      <c r="P188" s="188">
        <v>5708.16</v>
      </c>
      <c r="Q188" s="188">
        <v>510.25</v>
      </c>
      <c r="R188" s="190">
        <f t="shared" si="7"/>
        <v>-1.5542802486848362E-2</v>
      </c>
      <c r="S188" s="190">
        <f t="shared" si="7"/>
        <v>-3.686327077747964E-3</v>
      </c>
      <c r="T188" s="190">
        <f t="shared" si="7"/>
        <v>3.5006981729501785E-3</v>
      </c>
    </row>
    <row r="189">
      <c r="N189" s="187">
        <v>45632</v>
      </c>
      <c r="O189" s="188">
        <v>432.3</v>
      </c>
      <c r="P189" s="188">
        <v>5772.22</v>
      </c>
      <c r="Q189" s="188">
        <v>520.47</v>
      </c>
      <c r="R189" s="190">
        <f t="shared" si="7"/>
        <v>5.0036434296818033E-2</v>
      </c>
      <c r="S189" s="190">
        <f t="shared" si="7"/>
        <v>1.1222530552752685E-2</v>
      </c>
      <c r="T189" s="190">
        <f t="shared" si="7"/>
        <v>2.0029397354238254E-2</v>
      </c>
    </row>
    <row r="190">
      <c r="N190" s="187">
        <v>45639</v>
      </c>
      <c r="O190" s="188">
        <v>431.5</v>
      </c>
      <c r="P190" s="188">
        <v>5765.14</v>
      </c>
      <c r="Q190" s="188">
        <v>516.45000000000005</v>
      </c>
      <c r="R190" s="190">
        <f t="shared" si="7"/>
        <v>-1.8505667360629863E-3</v>
      </c>
      <c r="S190" s="190">
        <f t="shared" si="7"/>
        <v>-1.2265644760595107E-3</v>
      </c>
      <c r="T190" s="190">
        <f t="shared" si="7"/>
        <v>-7.7237881145887366E-3</v>
      </c>
    </row>
    <row r="191">
      <c r="N191" s="187">
        <v>45646</v>
      </c>
      <c r="O191" s="188">
        <v>411.6</v>
      </c>
      <c r="P191" s="188">
        <v>5686.88</v>
      </c>
      <c r="Q191" s="188">
        <v>502.19</v>
      </c>
      <c r="R191" s="190">
        <f t="shared" si="7"/>
        <v>-4.6118192352259557E-2</v>
      </c>
      <c r="S191" s="190">
        <f t="shared" si="7"/>
        <v>-1.35746920282942E-2</v>
      </c>
      <c r="T191" s="190">
        <f t="shared" si="7"/>
        <v>-2.76115790492788E-2</v>
      </c>
    </row>
    <row r="192">
      <c r="N192" s="187">
        <v>45653</v>
      </c>
      <c r="O192" s="188">
        <v>414.8</v>
      </c>
      <c r="P192" s="188">
        <v>5729.62</v>
      </c>
      <c r="Q192" s="188">
        <v>507.18</v>
      </c>
      <c r="R192" s="190">
        <f t="shared" si="7"/>
        <v>7.7745383867833251E-3</v>
      </c>
      <c r="S192" s="190">
        <f t="shared" si="7"/>
        <v>7.515544551669695E-3</v>
      </c>
      <c r="T192" s="190">
        <f t="shared" si="7"/>
        <v>9.9364782253728023E-3</v>
      </c>
    </row>
    <row r="193">
      <c r="N193" s="187">
        <v>45660</v>
      </c>
      <c r="O193" s="188">
        <v>405.3</v>
      </c>
      <c r="P193" s="188">
        <v>5770.51</v>
      </c>
      <c r="Q193" s="188">
        <v>508.19</v>
      </c>
      <c r="R193" s="190">
        <f t="shared" si="7"/>
        <v>-2.2902603664416543E-2</v>
      </c>
      <c r="S193" s="190">
        <f t="shared" si="7"/>
        <v>7.1365989367533356E-3</v>
      </c>
      <c r="T193" s="190">
        <f t="shared" si="7"/>
        <v>1.9914034465080555E-3</v>
      </c>
    </row>
    <row r="194">
      <c r="N194" s="187">
        <v>45667</v>
      </c>
      <c r="O194" s="188">
        <v>418.5</v>
      </c>
      <c r="P194" s="188">
        <v>5687.69</v>
      </c>
      <c r="Q194" s="188">
        <v>511.5</v>
      </c>
      <c r="R194" s="190">
        <f t="shared" si="7"/>
        <v>3.2568467801628476E-2</v>
      </c>
      <c r="S194" s="190">
        <f t="shared" si="7"/>
        <v>-1.4352284286830885E-2</v>
      </c>
      <c r="T194" s="190">
        <f t="shared" si="7"/>
        <v>6.5133119502547299E-3</v>
      </c>
    </row>
    <row r="195">
      <c r="N195" s="187">
        <v>45674</v>
      </c>
      <c r="O195" s="188">
        <v>424.3</v>
      </c>
      <c r="P195" s="188">
        <v>5832.76</v>
      </c>
      <c r="Q195" s="188">
        <v>523.62</v>
      </c>
      <c r="R195" s="190">
        <f t="shared" si="7"/>
        <v>1.3859020310633241E-2</v>
      </c>
      <c r="S195" s="190">
        <f t="shared" si="7"/>
        <v>2.5505961119540732E-2</v>
      </c>
      <c r="T195" s="190">
        <f t="shared" si="7"/>
        <v>2.3695014662756586E-2</v>
      </c>
    </row>
    <row r="196">
      <c r="N196" s="187">
        <v>45681</v>
      </c>
      <c r="O196" s="188">
        <v>411</v>
      </c>
      <c r="P196" s="188">
        <v>5804.62</v>
      </c>
      <c r="Q196" s="188">
        <v>530.07000000000005</v>
      </c>
      <c r="R196" s="190">
        <f t="shared" si="7"/>
        <v>-3.1345745934480362E-2</v>
      </c>
      <c r="S196" s="190">
        <f t="shared" si="7"/>
        <v>-4.8244741768905808E-3</v>
      </c>
      <c r="T196" s="190">
        <f t="shared" si="7"/>
        <v>1.2318093273748332E-2</v>
      </c>
    </row>
    <row r="197">
      <c r="N197" s="187">
        <v>45688</v>
      </c>
      <c r="O197" s="188">
        <v>416.6</v>
      </c>
      <c r="P197" s="188">
        <v>5797.05</v>
      </c>
      <c r="Q197" s="188">
        <v>539.53</v>
      </c>
      <c r="R197" s="190">
        <f t="shared" si="7"/>
        <v>1.3625304136253069E-2</v>
      </c>
      <c r="S197" s="190">
        <f t="shared" si="7"/>
        <v>-1.3041336039223417E-3</v>
      </c>
      <c r="T197" s="190">
        <f t="shared" si="7"/>
        <v>1.7846699492519713E-2</v>
      </c>
    </row>
    <row r="198">
      <c r="N198" s="187">
        <v>45695</v>
      </c>
      <c r="O198" s="188">
        <v>435</v>
      </c>
      <c r="P198" s="188">
        <v>5838.01</v>
      </c>
      <c r="Q198" s="188">
        <v>542.75</v>
      </c>
      <c r="R198" s="190">
        <f t="shared" si="7"/>
        <v>4.4167066730676829E-2</v>
      </c>
      <c r="S198" s="190">
        <f t="shared" si="7"/>
        <v>7.0656627077565481E-3</v>
      </c>
      <c r="T198" s="190">
        <f t="shared" si="7"/>
        <v>5.9681574703909224E-3</v>
      </c>
    </row>
    <row r="199">
      <c r="N199" s="187">
        <v>45702</v>
      </c>
      <c r="O199" s="188">
        <v>479.7</v>
      </c>
      <c r="P199" s="188">
        <v>5819.58</v>
      </c>
      <c r="Q199" s="188">
        <v>552.41</v>
      </c>
      <c r="R199" s="190">
        <f t="shared" si="7"/>
        <v>0.10275862068965513</v>
      </c>
      <c r="S199" s="190">
        <f t="shared" si="7"/>
        <v>-3.1568976414908523E-3</v>
      </c>
      <c r="T199" s="190">
        <f t="shared" si="7"/>
        <v>1.7798249654537024E-2</v>
      </c>
    </row>
    <row r="200">
      <c r="N200" s="187">
        <v>45709</v>
      </c>
      <c r="O200" s="188">
        <v>482.1</v>
      </c>
      <c r="P200" s="188">
        <v>5747.04</v>
      </c>
      <c r="Q200" s="188">
        <v>553.85</v>
      </c>
      <c r="R200" s="190">
        <f t="shared" si="7"/>
        <v>5.0031269543464596E-3</v>
      </c>
      <c r="S200" s="190">
        <f t="shared" si="7"/>
        <v>-1.2464817048652987E-2</v>
      </c>
      <c r="T200" s="190">
        <f t="shared" si="7"/>
        <v>2.6067594721312926E-3</v>
      </c>
    </row>
    <row r="201">
      <c r="N201" s="187">
        <v>45716</v>
      </c>
      <c r="O201" s="188">
        <v>450</v>
      </c>
      <c r="P201" s="188">
        <v>5727.13</v>
      </c>
      <c r="Q201" s="188">
        <v>557.19000000000005</v>
      </c>
      <c r="R201" s="190">
        <f t="shared" si="7"/>
        <v>-6.6583696328562536E-2</v>
      </c>
      <c r="S201" s="190">
        <f t="shared" si="7"/>
        <v>-3.464392104457259E-3</v>
      </c>
      <c r="T201" s="190">
        <f t="shared" si="7"/>
        <v>6.0305136769884804E-3</v>
      </c>
    </row>
    <row r="202">
      <c r="N202" s="187">
        <v>45723</v>
      </c>
      <c r="O202" s="188">
        <v>412.3</v>
      </c>
      <c r="P202" s="188">
        <v>5321.59</v>
      </c>
      <c r="Q202" s="188">
        <v>553.35</v>
      </c>
      <c r="R202" s="190" t="n">
        <f t="shared" ref="R202:T270" si="8">O202/O201-1</f>
        <v>-0.08377777777777773</v>
      </c>
      <c r="S202" s="190">
        <f t="shared" si="8"/>
        <v>-7.0810336067105184E-2</v>
      </c>
      <c r="T202" s="190">
        <f t="shared" si="8"/>
        <v>-6.8917245463846477E-3</v>
      </c>
    </row>
    <row r="203">
      <c r="N203" s="187">
        <v>45730</v>
      </c>
      <c r="O203" s="188">
        <v>412.4</v>
      </c>
      <c r="P203" s="188">
        <v>5181.8999999999996</v>
      </c>
      <c r="Q203" s="188">
        <v>546.6</v>
      </c>
      <c r="R203" s="190">
        <f t="shared" si="8"/>
        <v>2.4254183846705857E-4</v>
      </c>
      <c r="S203" s="190">
        <f t="shared" si="8"/>
        <v>-2.6249673499837534E-2</v>
      </c>
      <c r="T203" s="190">
        <f t="shared" si="8"/>
        <v>-1.2198427758200014E-2</v>
      </c>
    </row>
    <row r="204">
      <c r="N204" s="187">
        <v>45737</v>
      </c>
      <c r="O204" s="188">
        <v>403.6</v>
      </c>
      <c r="P204" s="188">
        <v>5236.59</v>
      </c>
      <c r="Q204" s="188">
        <v>549.66999999999996</v>
      </c>
      <c r="R204" s="190">
        <f t="shared" si="8"/>
        <v>-2.133850630455858E-2</v>
      </c>
      <c r="S204" s="190">
        <f t="shared" si="8"/>
        <v>1.0554043883517661E-2</v>
      </c>
      <c r="T204" s="190">
        <f t="shared" si="8"/>
        <v>5.6165386022684061E-3</v>
      </c>
    </row>
    <row r="205">
      <c r="N205" s="187">
        <v>45744</v>
      </c>
      <c r="O205" s="188">
        <v>401.6</v>
      </c>
      <c r="P205" s="188">
        <v>5157.99</v>
      </c>
      <c r="Q205" s="188">
        <v>542.1</v>
      </c>
      <c r="R205" s="190">
        <f t="shared" si="8"/>
        <v>-4.9554013875123815E-3</v>
      </c>
      <c r="S205" s="190">
        <f t="shared" si="8"/>
        <v>-1.5009767806912544E-2</v>
      </c>
      <c r="T205" s="190">
        <f t="shared" si="8"/>
        <v>-1.3771899503338236E-2</v>
      </c>
    </row>
    <row r="206">
      <c r="N206" s="187">
        <v>45751</v>
      </c>
      <c r="O206" s="188">
        <v>387.4</v>
      </c>
      <c r="P206" s="188">
        <v>4624.99</v>
      </c>
      <c r="Q206" s="188">
        <v>496.33</v>
      </c>
      <c r="R206" s="190">
        <f t="shared" si="8"/>
        <v>-3.5358565737051872E-2</v>
      </c>
      <c r="S206" s="190">
        <f t="shared" si="8"/>
        <v>-0.10333482616290457</v>
      </c>
      <c r="T206" s="190">
        <f t="shared" si="8"/>
        <v>-8.4430916805017575E-2</v>
      </c>
    </row>
    <row r="207">
      <c r="N207" s="187">
        <v>45758</v>
      </c>
      <c r="O207" s="188">
        <v>370.2</v>
      </c>
      <c r="P207" s="188">
        <v>4743.82</v>
      </c>
      <c r="Q207" s="188">
        <v>486.8</v>
      </c>
      <c r="R207" s="190">
        <f t="shared" si="8"/>
        <v>-4.4398554465668538E-2</v>
      </c>
      <c r="S207" s="190">
        <f t="shared" si="8"/>
        <v>2.5693028525467065E-2</v>
      </c>
      <c r="T207" s="190">
        <f t="shared" si="8"/>
        <v>-1.9200934861886232E-2</v>
      </c>
    </row>
    <row r="208">
      <c r="N208" s="187">
        <v>45765</v>
      </c>
      <c r="O208" s="188">
        <v>386</v>
      </c>
      <c r="P208" s="188">
        <v>4653.95</v>
      </c>
      <c r="Q208" s="188">
        <v>506.42</v>
      </c>
      <c r="R208" s="190">
        <f t="shared" si="8"/>
        <v>4.2679632631010378E-2</v>
      </c>
      <c r="S208" s="190">
        <f t="shared" si="8"/>
        <v>-1.8944647984113994E-2</v>
      </c>
      <c r="T208" s="190">
        <f t="shared" si="8"/>
        <v>4.0304026294166073E-2</v>
      </c>
    </row>
    <row r="209">
      <c r="N209" s="187">
        <v>45772</v>
      </c>
      <c r="O209" s="188">
        <v>401.8</v>
      </c>
      <c r="P209" s="188">
        <v>4859.8900000000003</v>
      </c>
      <c r="Q209" s="188">
        <v>520.45000000000005</v>
      </c>
      <c r="R209" s="190">
        <f t="shared" si="8"/>
        <v>4.0932642487046644E-2</v>
      </c>
      <c r="S209" s="190">
        <f t="shared" si="8"/>
        <v>4.4250582838234243E-2</v>
      </c>
      <c r="T209" s="190">
        <f t="shared" si="8"/>
        <v>2.7704277082263751E-2</v>
      </c>
    </row>
    <row r="210">
      <c r="N210" s="187">
        <v>45779</v>
      </c>
      <c r="O210" s="188">
        <v>410.1</v>
      </c>
      <c r="P210" s="188">
        <v>5023.5600000000004</v>
      </c>
      <c r="Q210" s="188">
        <v>536.42999999999995</v>
      </c>
      <c r="R210" s="190">
        <f t="shared" si="8"/>
        <v>2.0657043305126965E-2</v>
      </c>
      <c r="S210" s="190">
        <f t="shared" si="8"/>
        <v>3.3677716985363926E-2</v>
      </c>
      <c r="T210" s="190">
        <f t="shared" si="8"/>
        <v>3.0704198289941198E-2</v>
      </c>
    </row>
    <row r="211">
      <c r="N211" s="187">
        <v>45786</v>
      </c>
      <c r="O211" s="188">
        <v>433.1</v>
      </c>
      <c r="P211" s="188">
        <v>5027.01</v>
      </c>
      <c r="Q211" s="188">
        <v>537.96</v>
      </c>
      <c r="R211" s="190">
        <f t="shared" si="8"/>
        <v>5.6083881980004913E-2</v>
      </c>
      <c r="S211" s="190">
        <f t="shared" si="8"/>
        <v>6.8676396818179164E-4</v>
      </c>
      <c r="T211" s="190">
        <f t="shared" si="8"/>
        <v>2.852189474861655E-3</v>
      </c>
    </row>
    <row r="212">
      <c r="N212" s="187">
        <v>45793</v>
      </c>
      <c r="O212" s="188">
        <v>446.4</v>
      </c>
      <c r="P212" s="188">
        <v>5346.24</v>
      </c>
      <c r="Q212" s="188">
        <v>549.26</v>
      </c>
      <c r="R212" s="190">
        <f t="shared" si="8"/>
        <v>3.0708843223274052E-2</v>
      </c>
      <c r="S212" s="190">
        <f t="shared" si="8"/>
        <v>6.3502957026144724E-2</v>
      </c>
      <c r="T212" s="190">
        <f t="shared" si="8"/>
        <v>2.1005279202914728E-2</v>
      </c>
    </row>
    <row r="213">
      <c r="N213" s="187">
        <v>45800</v>
      </c>
      <c r="O213" s="188">
        <v>420.7</v>
      </c>
      <c r="P213" s="188">
        <v>5109.0200000000004</v>
      </c>
      <c r="Q213" s="188">
        <v>545.13</v>
      </c>
      <c r="R213" s="190">
        <f t="shared" si="8"/>
        <v>-5.7571684587813587E-2</v>
      </c>
      <c r="S213" s="190">
        <f t="shared" si="8"/>
        <v>-4.4371371281498706E-2</v>
      </c>
      <c r="T213" s="190">
        <f t="shared" si="8"/>
        <v>-7.5192076612169423E-3</v>
      </c>
    </row>
    <row r="214">
      <c r="N214" s="187">
        <v>45807</v>
      </c>
      <c r="O214" s="188">
        <v>421.4</v>
      </c>
      <c r="P214" s="188">
        <v>5208.54</v>
      </c>
      <c r="Q214" s="188">
        <v>548.66999999999996</v>
      </c>
      <c r="R214" s="190">
        <f t="shared" si="8"/>
        <v>1.6638935108153063E-3</v>
      </c>
      <c r="S214" s="190">
        <f t="shared" si="8"/>
        <v>1.9479273911630735E-2</v>
      </c>
      <c r="T214" s="190">
        <f t="shared" si="8"/>
        <v>6.493863848989978E-3</v>
      </c>
    </row>
    <row r="215">
      <c r="N215" s="187">
        <v>45814</v>
      </c>
      <c r="O215" s="188">
        <v>424.7</v>
      </c>
      <c r="P215" s="188">
        <v>5269.48</v>
      </c>
      <c r="Q215" s="188">
        <v>553.64</v>
      </c>
      <c r="R215" s="190">
        <f t="shared" si="8"/>
        <v>7.8310393925011823E-3</v>
      </c>
      <c r="S215" s="190">
        <f t="shared" si="8"/>
        <v>1.1700015743375314E-2</v>
      </c>
      <c r="T215" s="190">
        <f t="shared" si="8"/>
        <v>9.0582681757704897E-3</v>
      </c>
    </row>
    <row r="216">
      <c r="N216" s="187">
        <v>45821</v>
      </c>
      <c r="O216" s="188">
        <v>401.5</v>
      </c>
      <c r="P216" s="188">
        <v>5172.63</v>
      </c>
      <c r="Q216" s="188">
        <v>544.94000000000005</v>
      </c>
      <c r="R216" s="190">
        <f t="shared" si="8"/>
        <v>-5.4626795384977611E-2</v>
      </c>
      <c r="S216" s="190">
        <f t="shared" si="8"/>
        <v>-1.8379422637527676E-2</v>
      </c>
      <c r="T216" s="190">
        <f t="shared" si="8"/>
        <v>-1.5714182501264218E-2</v>
      </c>
    </row>
    <row r="217">
      <c r="N217" s="187">
        <v>45828</v>
      </c>
      <c r="O217" s="188">
        <v>398.6</v>
      </c>
      <c r="P217" s="188">
        <v>5173.2299999999996</v>
      </c>
      <c r="Q217" s="188">
        <v>536.53</v>
      </c>
      <c r="R217" s="190">
        <f t="shared" si="8"/>
        <v>-7.2229140722290808E-3</v>
      </c>
      <c r="S217" s="190">
        <f t="shared" si="8"/>
        <v>1.1599515140248151E-4</v>
      </c>
      <c r="T217" s="190">
        <f t="shared" si="8"/>
        <v>-1.5432891694498574E-2</v>
      </c>
    </row>
    <row r="218">
      <c r="N218" s="187">
        <v>45835</v>
      </c>
      <c r="O218" s="188">
        <v>420</v>
      </c>
      <c r="P218" s="188">
        <v>5266.23</v>
      </c>
      <c r="Q218" s="188">
        <v>543.63</v>
      </c>
      <c r="R218" s="190">
        <f t="shared" si="8"/>
        <v>5.368790767686904E-2</v>
      </c>
      <c r="S218" s="190">
        <f t="shared" si="8"/>
        <v>1.7977163203646507E-2</v>
      </c>
      <c r="T218" s="190">
        <f t="shared" si="8"/>
        <v>1.3233183605763088E-2</v>
      </c>
    </row>
    <row r="219">
      <c r="N219" s="187">
        <v>45842</v>
      </c>
      <c r="O219" s="188">
        <v>408.8</v>
      </c>
      <c r="P219" s="188">
        <v>5343.22</v>
      </c>
      <c r="Q219" s="188">
        <v>541.13</v>
      </c>
      <c r="R219" s="190">
        <f t="shared" si="8"/>
        <v>-2.6666666666666616E-2</v>
      </c>
      <c r="S219" s="190">
        <f t="shared" si="8"/>
        <v>1.4619566558999653E-2</v>
      </c>
      <c r="T219" s="190">
        <f t="shared" si="8"/>
        <v>-4.5987160384820536E-3</v>
      </c>
    </row>
    <row r="220">
      <c r="N220" s="187">
        <v>45849</v>
      </c>
      <c r="O220" s="188">
        <v>421.6</v>
      </c>
      <c r="P220" s="188">
        <v>5353.87</v>
      </c>
      <c r="Q220" s="188">
        <v>547.34</v>
      </c>
      <c r="R220" s="190">
        <f t="shared" si="8"/>
        <v>3.131115459882583E-2</v>
      </c>
      <c r="S220" s="190">
        <f t="shared" si="8"/>
        <v>1.9931801423112017E-3</v>
      </c>
      <c r="T220" s="190">
        <f t="shared" si="8"/>
        <v>1.1475985437880087E-2</v>
      </c>
    </row>
    <row r="221">
      <c r="N221" s="187">
        <v>45856</v>
      </c>
      <c r="O221" s="188">
        <v>436.5</v>
      </c>
      <c r="P221" s="188">
        <v>5414.73</v>
      </c>
      <c r="Q221" s="188">
        <v>547</v>
      </c>
      <c r="R221" s="190">
        <f t="shared" si="8"/>
        <v>3.5341555977229655E-2</v>
      </c>
      <c r="S221" s="190">
        <f t="shared" si="8"/>
        <v>1.1367478104623352E-2</v>
      </c>
      <c r="T221" s="190">
        <f t="shared" si="8"/>
        <v>-6.2118610004757713E-4</v>
      </c>
    </row>
    <row r="222">
      <c r="N222" s="187">
        <v>45863</v>
      </c>
      <c r="O222" s="188">
        <v>440.9</v>
      </c>
      <c r="P222" s="188">
        <v>5446.88</v>
      </c>
      <c r="Q222" s="188">
        <v>549.95000000000005</v>
      </c>
      <c r="R222" s="190">
        <f t="shared" si="8"/>
        <v>1.0080183276059529E-2</v>
      </c>
      <c r="S222" s="190">
        <f t="shared" si="8"/>
        <v>5.9375075026826263E-3</v>
      </c>
      <c r="T222" s="190">
        <f t="shared" si="8"/>
        <v>5.3930530164534307E-3</v>
      </c>
    </row>
    <row r="223">
      <c r="N223" s="187">
        <v>45870</v>
      </c>
      <c r="O223" s="188">
        <v>379.3</v>
      </c>
      <c r="P223" s="188">
        <v>5406.02</v>
      </c>
      <c r="Q223" s="188">
        <v>535.79</v>
      </c>
      <c r="R223" s="190">
        <f t="shared" si="8"/>
        <v>-0.13971422091177133</v>
      </c>
      <c r="S223" s="190">
        <f t="shared" si="8"/>
        <v>-7.5015421672589566E-3</v>
      </c>
      <c r="T223" s="190">
        <f t="shared" si="8"/>
        <v>-2.5747795254114192E-2</v>
      </c>
    </row>
    <row r="224">
      <c r="N224" s="187">
        <v>45877</v>
      </c>
      <c r="O224" s="188">
        <v>380.5</v>
      </c>
      <c r="P224" s="188">
        <v>5481.68</v>
      </c>
      <c r="Q224" s="188">
        <v>547.08000000000004</v>
      </c>
      <c r="R224" s="190">
        <f t="shared" si="8"/>
        <v>3.1637226469811708E-3</v>
      </c>
      <c r="S224" s="190">
        <f t="shared" si="8"/>
        <v>1.3995508710659577E-2</v>
      </c>
      <c r="T224" s="190">
        <f t="shared" si="8"/>
        <v>2.1071688534687327E-2</v>
      </c>
    </row>
    <row r="225">
      <c r="N225" s="187">
        <v>45884</v>
      </c>
      <c r="O225" s="188">
        <v>397.5</v>
      </c>
      <c r="P225" s="188">
        <v>5510.77</v>
      </c>
      <c r="Q225" s="188">
        <v>553.55999999999995</v>
      </c>
      <c r="R225" s="190">
        <f t="shared" si="8"/>
        <v>4.4678055190538801E-2</v>
      </c>
      <c r="S225" s="190">
        <f t="shared" si="8"/>
        <v>5.3067672684286027E-3</v>
      </c>
      <c r="T225" s="190">
        <f t="shared" si="8"/>
        <v>1.1844702785698491E-2</v>
      </c>
    </row>
    <row r="226">
      <c r="N226" s="187">
        <v>45891</v>
      </c>
      <c r="O226" s="188">
        <v>404.1</v>
      </c>
      <c r="P226" s="188">
        <v>5516.9</v>
      </c>
      <c r="Q226" s="188">
        <v>561.29999999999995</v>
      </c>
      <c r="R226" s="190">
        <f t="shared" si="8"/>
        <v>1.6603773584905612E-2</v>
      </c>
      <c r="S226" s="190">
        <f t="shared" si="8"/>
        <v>1.1123672372461701E-3</v>
      </c>
      <c r="T226" s="190">
        <f t="shared" si="8"/>
        <v>1.3982224149143851E-2</v>
      </c>
    </row>
    <row r="227">
      <c r="N227" s="187">
        <v>45898</v>
      </c>
      <c r="O227" s="188">
        <v>406.7</v>
      </c>
      <c r="P227" s="188">
        <v>5520.65</v>
      </c>
      <c r="Q227" s="188">
        <v>550.14</v>
      </c>
      <c r="R227" s="190">
        <f t="shared" si="8"/>
        <v>6.434050977480732E-3</v>
      </c>
      <c r="S227" s="190">
        <f t="shared" si="8"/>
        <v>6.7972955826633985E-4</v>
      </c>
      <c r="T227" s="190">
        <f t="shared" si="8"/>
        <v>-1.9882415820416832E-2</v>
      </c>
    </row>
    <row r="228">
      <c r="N228" s="187">
        <v>45905</v>
      </c>
      <c r="O228" s="188">
        <v>418.4</v>
      </c>
      <c r="P228" s="188">
        <v>5521.34</v>
      </c>
      <c r="Q228" s="188">
        <v>549.21</v>
      </c>
      <c r="R228" s="190">
        <f t="shared" si="8"/>
        <v>2.8768133759527803E-2</v>
      </c>
      <c r="S228" s="190">
        <f t="shared" si="8"/>
        <v>1.2498528253024332E-4</v>
      </c>
      <c r="T228" s="190">
        <f t="shared" si="8"/>
        <v>-1.6904787872177307E-3</v>
      </c>
    </row>
    <row r="229">
      <c r="N229" s="187">
        <v>45912</v>
      </c>
      <c r="O229" s="188">
        <v>407.3</v>
      </c>
      <c r="P229" s="188">
        <v>5614.64</v>
      </c>
      <c r="Q229" s="188">
        <v>554.84</v>
      </c>
      <c r="R229" s="190">
        <f t="shared" si="8"/>
        <v>-2.6529636711280946E-2</v>
      </c>
      <c r="S229" s="190">
        <f t="shared" si="8"/>
        <v>1.6898071844878348E-2</v>
      </c>
      <c r="T229" s="190">
        <f t="shared" si="8"/>
        <v>1.0251087926294034E-2</v>
      </c>
    </row>
    <row r="230">
      <c r="N230" s="187">
        <v>45919</v>
      </c>
      <c r="O230" s="188">
        <v>407.5</v>
      </c>
      <c r="P230" s="188">
        <v>5670.35</v>
      </c>
      <c r="Q230" s="188">
        <v>554.12</v>
      </c>
      <c r="R230" s="190">
        <f t="shared" si="8"/>
        <v>4.9103854652576828E-4</v>
      </c>
      <c r="S230" s="190">
        <f t="shared" si="8"/>
        <v>9.9222746249092442E-3</v>
      </c>
      <c r="T230" s="190">
        <f t="shared" si="8"/>
        <v>-1.2976714007641998E-3</v>
      </c>
    </row>
    <row r="231">
      <c r="N231" s="187">
        <v>45926</v>
      </c>
      <c r="O231" s="188">
        <v>405.9</v>
      </c>
      <c r="P231" s="188">
        <v>5681.78</v>
      </c>
      <c r="Q231" s="188">
        <v>554.52</v>
      </c>
      <c r="R231" s="190">
        <f t="shared" si="8"/>
        <v>-3.9263803680982257E-3</v>
      </c>
      <c r="S231" s="190">
        <f t="shared" si="8"/>
        <v>2.0157485869478631E-3</v>
      </c>
      <c r="T231" s="190">
        <f t="shared" si="8"/>
        <v>7.2186529993500947E-4</v>
      </c>
    </row>
    <row r="232">
      <c r="N232" s="187">
        <v>45933</v>
      </c>
      <c r="O232" s="188">
        <v>426.9</v>
      </c>
      <c r="P232" s="188">
        <v>5720.43</v>
      </c>
      <c r="Q232" s="188">
        <v>570.45000000000005</v>
      </c>
      <c r="R232" s="190">
        <f t="shared" si="8"/>
        <v>5.1736881005173707E-2</v>
      </c>
      <c r="S232" s="190">
        <f t="shared" si="8"/>
        <v>6.8024457124353788E-3</v>
      </c>
      <c r="T232" s="190">
        <f t="shared" si="8"/>
        <v>2.8727548149751314E-2</v>
      </c>
    </row>
    <row r="233">
      <c r="N233" s="187">
        <v>45940</v>
      </c>
      <c r="O233" s="188">
        <v>344.2</v>
      </c>
      <c r="P233" s="188">
        <v>5645.8</v>
      </c>
      <c r="Q233" s="188">
        <v>564.16</v>
      </c>
      <c r="R233" s="190">
        <f t="shared" si="8"/>
        <v>-0.19372218318107282</v>
      </c>
      <c r="S233" s="190">
        <f t="shared" si="8"/>
        <v>-1.3046222049741041E-2</v>
      </c>
      <c r="T233" s="190">
        <f t="shared" si="8"/>
        <v>-1.1026382680340174E-2</v>
      </c>
    </row>
    <row r="234">
      <c r="N234" s="187">
        <v>45947</v>
      </c>
      <c r="O234" s="188">
        <v>340.5</v>
      </c>
      <c r="P234" s="188">
        <v>5709.89</v>
      </c>
      <c r="Q234" s="188">
        <v>566.24</v>
      </c>
      <c r="R234" s="190">
        <f t="shared" si="8"/>
        <v>-1.0749564206856466E-2</v>
      </c>
      <c r="S234" s="190">
        <f t="shared" si="8"/>
        <v>1.1351801339048562E-2</v>
      </c>
      <c r="T234" s="190">
        <f t="shared" si="8"/>
        <v>3.6868973340897782E-3</v>
      </c>
    </row>
    <row r="235">
      <c r="N235" s="187">
        <v>45954</v>
      </c>
      <c r="O235" s="188">
        <v>353.9</v>
      </c>
      <c r="P235" s="188">
        <v>5841.81</v>
      </c>
      <c r="Q235" s="188">
        <v>575.76</v>
      </c>
      <c r="R235" s="190">
        <f t="shared" si="8"/>
        <v>3.9353891336270097E-2</v>
      </c>
      <c r="S235" s="190">
        <f t="shared" si="8"/>
        <v>2.3103772577054871E-2</v>
      </c>
      <c r="T235" s="190">
        <f t="shared" si="8"/>
        <v>1.6812658943204273E-2</v>
      </c>
    </row>
    <row r="236">
      <c r="N236" s="187">
        <v>45961</v>
      </c>
      <c r="O236" s="188">
        <v>346.5</v>
      </c>
      <c r="P236" s="188">
        <v>5935.61</v>
      </c>
      <c r="Q236" s="188">
        <v>571.89</v>
      </c>
      <c r="R236" s="190">
        <f t="shared" si="8"/>
        <v>-2.0909861542808605E-2</v>
      </c>
      <c r="S236" s="190">
        <f t="shared" si="8"/>
        <v>1.6056667368503863E-2</v>
      </c>
      <c r="T236" s="190">
        <f t="shared" si="8"/>
        <v>-6.7215506461025809E-3</v>
      </c>
    </row>
    <row r="237">
      <c r="N237" s="187">
        <v>45968</v>
      </c>
      <c r="O237" s="188">
        <v>351.9</v>
      </c>
      <c r="P237" s="188">
        <v>5810.71</v>
      </c>
      <c r="Q237" s="188">
        <v>564.79</v>
      </c>
      <c r="R237" s="190">
        <f t="shared" si="8"/>
        <v>1.558441558441559E-2</v>
      </c>
      <c r="S237" s="190">
        <f t="shared" si="8"/>
        <v>-2.1042487629746476E-2</v>
      </c>
      <c r="T237" s="190">
        <f t="shared" si="8"/>
        <v>-1.2414974907762E-2</v>
      </c>
    </row>
    <row r="238">
      <c r="N238" s="187">
        <v>45975</v>
      </c>
      <c r="O238" s="188">
        <v>360</v>
      </c>
      <c r="P238" s="188">
        <v>5798.27</v>
      </c>
      <c r="Q238" s="188">
        <v>574.80999999999995</v>
      </c>
      <c r="R238" s="190">
        <f t="shared" si="8"/>
        <v>2.3017902813299296E-2</v>
      </c>
      <c r="S238" s="190">
        <f t="shared" si="8"/>
        <v>-2.1408743509828687E-3</v>
      </c>
      <c r="T238" s="190">
        <f t="shared" si="8"/>
        <v>1.7741107314222848E-2</v>
      </c>
    </row>
    <row r="239">
      <c r="N239" s="187">
        <v>45982</v>
      </c>
      <c r="O239" s="188">
        <v>337.2</v>
      </c>
      <c r="P239" s="188">
        <v>5738.24</v>
      </c>
      <c r="Q239" s="188">
        <v>562.1</v>
      </c>
      <c r="R239" s="190">
        <f t="shared" si="8"/>
        <v>-6.3333333333333353E-2</v>
      </c>
      <c r="S239" s="190">
        <f t="shared" si="8"/>
        <v>-1.0353088076271111E-2</v>
      </c>
      <c r="T239" s="190">
        <f t="shared" si="8"/>
        <v>-2.2111654285763893E-2</v>
      </c>
    </row>
    <row r="240">
      <c r="N240" s="187">
        <v>45989</v>
      </c>
      <c r="O240" s="188">
        <v>337.8</v>
      </c>
      <c r="P240" s="188">
        <v>5902.86</v>
      </c>
      <c r="Q240" s="188">
        <v>576.42999999999995</v>
      </c>
      <c r="R240" s="190">
        <f t="shared" si="8"/>
        <v>1.779359430605032E-3</v>
      </c>
      <c r="S240" s="190">
        <f t="shared" si="8"/>
        <v>2.8688238902520702E-2</v>
      </c>
      <c r="T240" s="190">
        <f t="shared" si="8"/>
        <v>2.5493684397793759E-2</v>
      </c>
    </row>
    <row r="241">
      <c r="N241" s="187">
        <v>45996</v>
      </c>
      <c r="O241" s="188">
        <v>340.4</v>
      </c>
      <c r="P241" s="188">
        <v>5900.38</v>
      </c>
      <c r="Q241" s="188">
        <v>578.77</v>
      </c>
      <c r="R241" s="190">
        <f t="shared" si="8"/>
        <v>7.6968620485493577E-3</v>
      </c>
      <c r="S241" s="190">
        <f t="shared" si="8"/>
        <v>-4.2013532423257338E-4</v>
      </c>
      <c r="T241" s="190">
        <f t="shared" si="8"/>
        <v>4.0594694932603037E-3</v>
      </c>
    </row>
    <row r="242">
      <c r="N242" s="187">
        <v>46003</v>
      </c>
      <c r="O242" s="188">
        <v>313.2</v>
      </c>
      <c r="P242" s="188">
        <v>5811.55</v>
      </c>
      <c r="Q242" s="188">
        <v>578.24</v>
      </c>
      <c r="R242" s="190">
        <f t="shared" si="8"/>
        <v>-7.9905992949471205E-2</v>
      </c>
      <c r="S242" s="190">
        <f t="shared" si="8"/>
        <v>-1.5054962561733332E-2</v>
      </c>
      <c r="T242" s="190">
        <f t="shared" si="8"/>
        <v>-9.1573509338760406E-4</v>
      </c>
    </row>
    <row r="243">
      <c r="N243" s="187">
        <v>46010</v>
      </c>
      <c r="O243" s="188">
        <v>322.8</v>
      </c>
      <c r="P243" s="188">
        <v>5831.98</v>
      </c>
      <c r="Q243" s="188">
        <v>587.5</v>
      </c>
      <c r="R243" s="190">
        <f t="shared" si="8"/>
        <v>3.0651340996168619E-2</v>
      </c>
      <c r="S243" s="190">
        <f t="shared" si="8"/>
        <v>3.515413271846457E-3</v>
      </c>
      <c r="T243" s="190">
        <f t="shared" si="8"/>
        <v>1.6014111787493013E-2</v>
      </c>
    </row>
    <row r="244">
      <c r="N244" s="187">
        <v>46017</v>
      </c>
      <c r="O244" s="188">
        <v>319.89999999999998</v>
      </c>
      <c r="P244" s="188">
        <v>5887.8</v>
      </c>
      <c r="Q244" s="188">
        <v>588.70000000000005</v>
      </c>
      <c r="R244" s="190">
        <f t="shared" si="8"/>
        <v>-8.9838909541513079E-3</v>
      </c>
      <c r="S244" s="190">
        <f t="shared" si="8"/>
        <v>9.5713634134548808E-3</v>
      </c>
      <c r="T244" s="190">
        <f t="shared" si="8"/>
        <v>2.0425531914893824E-3</v>
      </c>
    </row>
    <row r="245">
      <c r="N245" s="187">
        <v>46024</v>
      </c>
      <c r="O245" s="188">
        <v>316.3</v>
      </c>
      <c r="P245" s="188">
        <v>5846.45</v>
      </c>
      <c r="Q245" s="188">
        <v>596.14</v>
      </c>
      <c r="R245" s="190">
        <f t="shared" si="8"/>
        <v>-1.125351672397612E-2</v>
      </c>
      <c r="S245" s="190">
        <f t="shared" si="8"/>
        <v>-7.0229967050511322E-3</v>
      </c>
      <c r="T245" s="190">
        <f t="shared" si="8"/>
        <v>1.2638015967385563E-2</v>
      </c>
    </row>
    <row r="246">
      <c r="N246" s="187">
        <v>46031</v>
      </c>
      <c r="O246" s="188">
        <v>325.7</v>
      </c>
      <c r="P246" s="188">
        <v>5988.89</v>
      </c>
      <c r="Q246" s="188">
        <v>609.66999999999996</v>
      </c>
      <c r="R246" s="190">
        <f t="shared" si="8"/>
        <v>2.9718621561808378E-2</v>
      </c>
      <c r="S246" s="190">
        <f t="shared" si="8"/>
        <v>2.4363502638353296E-2</v>
      </c>
      <c r="T246" s="190">
        <f t="shared" si="8"/>
        <v>2.2696011004126548E-2</v>
      </c>
    </row>
    <row r="247">
      <c r="N247" s="187">
        <v>46038</v>
      </c>
      <c r="O247" s="188">
        <v>300.10000000000002</v>
      </c>
      <c r="P247" s="188">
        <v>5984.83</v>
      </c>
      <c r="Q247" s="188">
        <v>614.38</v>
      </c>
      <c r="R247" s="190">
        <f t="shared" si="8"/>
        <v>-7.859993859379788E-2</v>
      </c>
      <c r="S247" s="190">
        <f t="shared" si="8"/>
        <v>-6.7792195214810835E-4</v>
      </c>
      <c r="T247" s="190">
        <f t="shared" si="8"/>
        <v>7.7254908393065147E-3</v>
      </c>
    </row>
    <row r="248">
      <c r="N248" s="187">
        <v>46045</v>
      </c>
      <c r="O248" s="188">
        <v>284.3</v>
      </c>
      <c r="P248" s="188">
        <v>5863.67</v>
      </c>
      <c r="Q248" s="188">
        <v>608.34</v>
      </c>
      <c r="R248" s="190">
        <f t="shared" si="8"/>
        <v>-5.2649116961013043E-2</v>
      </c>
      <c r="S248" s="190">
        <f t="shared" si="8"/>
        <v>-2.0244518223575203E-2</v>
      </c>
      <c r="T248" s="190">
        <f t="shared" si="8"/>
        <v>-9.8310491877989792E-3</v>
      </c>
    </row>
    <row r="249">
      <c r="N249" s="187">
        <v>46052</v>
      </c>
      <c r="O249" s="188">
        <v>280.8</v>
      </c>
      <c r="P249" s="188">
        <v>5844.87</v>
      </c>
      <c r="Q249" s="188">
        <v>611</v>
      </c>
      <c r="R249" s="190">
        <f t="shared" si="8"/>
        <v>-1.2310939148786448E-2</v>
      </c>
      <c r="S249" s="190">
        <f t="shared" si="8"/>
        <v>-3.2061831583292122E-3</v>
      </c>
      <c r="T249" s="190">
        <f t="shared" si="8"/>
        <v>4.3725548213169319E-3</v>
      </c>
    </row>
    <row r="250">
      <c r="N250" s="187">
        <v>46059</v>
      </c>
      <c r="O250" s="188">
        <v>281</v>
      </c>
      <c r="P250" s="188">
        <v>5865.88</v>
      </c>
      <c r="Q250" s="188">
        <v>617.12</v>
      </c>
      <c r="R250" s="190">
        <f t="shared" si="8"/>
        <v>7.1225071225056169E-4</v>
      </c>
      <c r="S250" s="190">
        <f t="shared" si="8"/>
        <v>3.5946051836910353E-3</v>
      </c>
      <c r="T250" s="190">
        <f t="shared" si="8"/>
        <v>1.001636661211136E-2</v>
      </c>
    </row>
    <row r="251">
      <c r="N251" s="187">
        <v>46066</v>
      </c>
      <c r="O251" s="188">
        <v>322.3</v>
      </c>
      <c r="P251" s="188">
        <v>5756.77</v>
      </c>
      <c r="Q251" s="188">
        <v>617.70000000000005</v>
      </c>
      <c r="R251" s="190">
        <f t="shared" si="8"/>
        <v>0.14697508896797151</v>
      </c>
      <c r="S251" s="190">
        <f t="shared" si="8"/>
        <v>-1.86007896513396E-2</v>
      </c>
      <c r="T251" s="190">
        <f t="shared" si="8"/>
        <v>9.3984962406024053E-4</v>
      </c>
    </row>
    <row r="252">
      <c r="N252" s="187">
        <v>46073</v>
      </c>
      <c r="O252" s="188">
        <v>309.2</v>
      </c>
      <c r="P252" s="188">
        <v>5865.46</v>
      </c>
      <c r="Q252" s="188">
        <v>630.55999999999995</v>
      </c>
      <c r="R252" s="190">
        <f t="shared" si="8"/>
        <v>-4.0645361464474172E-2</v>
      </c>
      <c r="S252" s="190">
        <f t="shared" si="8"/>
        <v>1.8880379101475331E-2</v>
      </c>
      <c r="T252" s="190">
        <f t="shared" si="8"/>
        <v>2.0819167880848255E-2</v>
      </c>
    </row>
    <row r="253">
      <c r="N253" s="187">
        <v>46080</v>
      </c>
      <c r="O253" s="188">
        <v>321.39999999999998</v>
      </c>
      <c r="P253" s="188">
        <v>5821.17</v>
      </c>
      <c r="Q253" s="188">
        <v>633.85</v>
      </c>
      <c r="R253" s="190">
        <f t="shared" si="8"/>
        <v>3.945666235446299E-2</v>
      </c>
      <c r="S253" s="190">
        <f t="shared" si="8"/>
        <v>-7.5509849184889344E-3</v>
      </c>
      <c r="T253" s="190">
        <f t="shared" si="8"/>
        <v>5.2175843694495239E-3</v>
      </c>
    </row>
    <row r="254">
      <c r="N254" s="187">
        <v>46087</v>
      </c>
      <c r="O254" s="188">
        <v>301.60000000000002</v>
      </c>
      <c r="P254" s="188">
        <v>5812.37</v>
      </c>
      <c r="Q254" s="188">
        <v>598.69000000000005</v>
      </c>
      <c r="R254" s="190">
        <f t="shared" si="8"/>
        <v>-6.16054760423147E-2</v>
      </c>
      <c r="S254" s="190">
        <f t="shared" si="8"/>
        <v>-1.5117235882133873E-3</v>
      </c>
      <c r="T254" s="190">
        <f t="shared" si="8"/>
        <v>-5.5470537193342273E-2</v>
      </c>
    </row>
    <row r="255">
      <c r="N255" s="187">
        <v>46094</v>
      </c>
      <c r="O255" s="188">
        <v>289.2</v>
      </c>
      <c r="P255" s="188">
        <v>5796.36</v>
      </c>
      <c r="Q255" s="188">
        <v>595.85</v>
      </c>
      <c r="R255" s="190">
        <f t="shared" si="8"/>
        <v>-4.1114058355437799E-2</v>
      </c>
      <c r="S255" s="190">
        <f t="shared" si="8"/>
        <v>-2.7544702075057437E-3</v>
      </c>
      <c r="T255" s="190">
        <f t="shared" si="8"/>
        <v>-4.7436903906863392E-3</v>
      </c>
    </row>
    <row r="256">
      <c r="N256" s="187">
        <v>46101</v>
      </c>
      <c r="O256" s="188">
        <v>273.8</v>
      </c>
      <c r="P256" s="188">
        <v>5629.42</v>
      </c>
      <c r="Q256" s="188">
        <v>573.28</v>
      </c>
      <c r="R256" s="190">
        <f t="shared" si="8"/>
        <v>-5.3250345781466035E-2</v>
      </c>
      <c r="S256" s="190">
        <f t="shared" si="8"/>
        <v>-2.8800833626620781E-2</v>
      </c>
      <c r="T256" s="190">
        <f t="shared" si="8"/>
        <v>-3.7878660736762715E-2</v>
      </c>
    </row>
    <row r="257">
      <c r="N257" s="187">
        <v>46108</v>
      </c>
      <c r="O257" s="188">
        <v>278.3</v>
      </c>
      <c r="P257" s="188">
        <v>5531.88</v>
      </c>
      <c r="Q257" s="188">
        <v>575.29999999999995</v>
      </c>
      <c r="R257" s="190">
        <f t="shared" si="8"/>
        <v>1.6435354273192093E-2</v>
      </c>
      <c r="S257" s="190">
        <f t="shared" si="8"/>
        <v>-1.7326829406937083E-2</v>
      </c>
      <c r="T257" s="190">
        <f t="shared" si="8"/>
        <v>3.5235835891711531E-3</v>
      </c>
    </row>
    <row r="258">
      <c r="N258" s="187">
        <v>46115</v>
      </c>
      <c r="O258" s="188">
        <v>295.5</v>
      </c>
      <c r="P258" s="188">
        <v>5704.73</v>
      </c>
      <c r="Q258" s="188">
        <v>596.63</v>
      </c>
      <c r="R258" s="190">
        <f t="shared" si="8"/>
        <v>6.1803808839381968E-2</v>
      </c>
      <c r="S258" s="190">
        <f t="shared" si="8"/>
        <v>3.1246158629615772E-2</v>
      </c>
      <c r="T258" s="190">
        <f t="shared" si="8"/>
        <v>3.7076308013210602E-2</v>
      </c>
    </row>
    <row r="259">
      <c r="N259" s="187">
        <v>46122</v>
      </c>
      <c r="O259" s="188">
        <v>301.64999999999998</v>
      </c>
      <c r="P259" s="188">
        <v>5815.96</v>
      </c>
      <c r="Q259" s="188">
        <v>614.84</v>
      </c>
      <c r="R259" s="190">
        <f t="shared" si="8"/>
        <v>2.0812182741116736E-2</v>
      </c>
      <c r="S259" s="190">
        <f t="shared" si="8"/>
        <v>1.9497855288506338E-2</v>
      </c>
      <c r="T259" s="190">
        <f t="shared" si="8"/>
        <v>3.05214286911486E-2</v>
      </c>
    </row>
    <row r="260">
      <c r="N260" s="187">
        <v>46129</v>
      </c>
      <c r="O260" s="188">
        <v>321.10000000000002</v>
      </c>
      <c r="P260" s="188">
        <v>6039.55</v>
      </c>
      <c r="Q260" s="188">
        <v>626.58000000000004</v>
      </c>
      <c r="R260" s="190">
        <f t="shared" si="8"/>
        <v>6.447870048068971E-2</v>
      </c>
      <c r="S260" s="190">
        <f t="shared" si="8"/>
        <v>3.844421213350846E-2</v>
      </c>
      <c r="T260" s="190">
        <f t="shared" si="8"/>
        <v>1.9094398542710334E-2</v>
      </c>
    </row>
    <row r="261">
      <c r="N261" s="187">
        <v>46136</v>
      </c>
      <c r="O261" s="188">
        <v>299.55</v>
      </c>
      <c r="P261" s="188">
        <v>6114.07</v>
      </c>
      <c r="Q261" s="188">
        <v>610.65</v>
      </c>
      <c r="R261" s="190">
        <f t="shared" si="8"/>
        <v>-6.7113048894425487E-2</v>
      </c>
      <c r="S261" s="190">
        <f t="shared" si="8"/>
        <v>1.2338667615964694E-2</v>
      </c>
      <c r="T261" s="190">
        <f t="shared" si="8"/>
        <v>-2.5423728813559476E-2</v>
      </c>
    </row>
    <row r="262">
      <c r="N262" s="187">
        <v>46143</v>
      </c>
      <c r="O262" s="188">
        <v>293.35000000000002</v>
      </c>
      <c r="P262" s="188">
        <v>6159.58</v>
      </c>
      <c r="Q262" s="188">
        <v>611.54999999999995</v>
      </c>
      <c r="R262" s="190">
        <f t="shared" si="8"/>
        <v>-2.0697713236521365E-2</v>
      </c>
      <c r="S262" s="190">
        <f t="shared" si="8"/>
        <v>7.443486908066177E-3</v>
      </c>
      <c r="T262" s="190">
        <f t="shared" si="8"/>
        <v>1.4738393515105752E-3</v>
      </c>
    </row>
    <row r="263">
      <c r="N263" s="187">
        <v>46150</v>
      </c>
      <c r="O263" s="188">
        <v>289.5</v>
      </c>
      <c r="P263" s="188">
        <v>6285.73</v>
      </c>
      <c r="Q263" s="188">
        <v>612.14</v>
      </c>
      <c r="R263" s="190">
        <f t="shared" si="8"/>
        <v>-1.3124254303732874E-2</v>
      </c>
      <c r="S263" s="190">
        <f t="shared" si="8"/>
        <v>2.0480292487474738E-2</v>
      </c>
      <c r="T263" s="190">
        <f t="shared" si="8"/>
        <v>9.6476167116343881E-4</v>
      </c>
    </row>
    <row r="264">
      <c r="N264" s="187">
        <v>46157</v>
      </c>
      <c r="O264" s="188">
        <v>279.39999999999998</v>
      </c>
      <c r="P264" s="188">
        <v>6370.16</v>
      </c>
      <c r="Q264" s="188">
        <v>606.91999999999996</v>
      </c>
      <c r="R264" s="190">
        <f t="shared" si="8"/>
        <v>-3.4887737478411118E-2</v>
      </c>
      <c r="S264" s="190">
        <f t="shared" si="8"/>
        <v>1.3432011874515926E-2</v>
      </c>
      <c r="T264" s="190">
        <f t="shared" si="8"/>
        <v>-8.5274610383245797E-3</v>
      </c>
    </row>
    <row r="265">
      <c r="N265" s="187">
        <v>46164</v>
      </c>
      <c r="O265" s="188">
        <v>301.55</v>
      </c>
      <c r="P265" s="188">
        <v>6436.54</v>
      </c>
      <c r="Q265" s="188">
        <v>625.12</v>
      </c>
      <c r="R265" s="190">
        <f t="shared" si="8"/>
        <v>7.927702219040822E-2</v>
      </c>
      <c r="S265" s="190">
        <f t="shared" si="8"/>
        <v>1.0420460396599163E-2</v>
      </c>
      <c r="T265" s="190">
        <f t="shared" si="8"/>
        <v>2.9987477756541203E-2</v>
      </c>
    </row>
    <row r="266">
      <c r="N266" s="187">
        <v>46171</v>
      </c>
      <c r="O266" s="188">
        <v>295.2</v>
      </c>
      <c r="P266" s="188">
        <v>6494.23</v>
      </c>
      <c r="Q266" s="188">
        <v>626</v>
      </c>
      <c r="R266" s="190">
        <f t="shared" si="8"/>
        <v>-2.1057867683634601E-2</v>
      </c>
      <c r="S266" s="190">
        <f t="shared" si="8"/>
        <v>8.9628899999067979E-3</v>
      </c>
      <c r="T266" s="190">
        <f t="shared" si="8"/>
        <v>1.4077297158945346E-3</v>
      </c>
    </row>
    <row r="267">
      <c r="N267" s="187">
        <v>46178</v>
      </c>
      <c r="O267" s="188">
        <v>300.39999999999998</v>
      </c>
      <c r="P267" s="188">
        <v>6402.83</v>
      </c>
      <c r="Q267" s="188">
        <v>622.66</v>
      </c>
      <c r="R267" s="190">
        <f t="shared" si="8"/>
        <v>1.7615176151761558E-2</v>
      </c>
      <c r="S267" s="190">
        <f t="shared" si="8"/>
        <v>-1.4074031871368797E-2</v>
      </c>
      <c r="T267" s="190">
        <f t="shared" si="8"/>
        <v>-5.3354632587859774E-3</v>
      </c>
    </row>
    <row r="268">
      <c r="N268" s="187">
        <v>46185</v>
      </c>
      <c r="O268" s="188">
        <v>306.85000000000002</v>
      </c>
      <c r="P268" s="188">
        <v>6420.27</v>
      </c>
      <c r="Q268" s="188">
        <v>633.21</v>
      </c>
      <c r="R268" s="190">
        <f t="shared" si="8"/>
        <v>2.1471371504660608E-2</v>
      </c>
      <c r="S268" s="190">
        <f t="shared" si="8"/>
        <v>2.7237955716457041E-3</v>
      </c>
      <c r="T268" s="190">
        <f t="shared" si="8"/>
        <v>1.6943436225227426E-2</v>
      </c>
    </row>
    <row r="269">
      <c r="N269" s="187">
        <v>46192</v>
      </c>
      <c r="O269" s="188">
        <v>307.5</v>
      </c>
      <c r="P269" s="188">
        <v>6542.15</v>
      </c>
      <c r="Q269" s="188">
        <v>635.61</v>
      </c>
      <c r="R269" s="190">
        <f t="shared" si="8"/>
        <v>2.1182988430827887E-3</v>
      </c>
      <c r="S269" s="190">
        <f t="shared" si="8"/>
        <v>1.8983625299247464E-2</v>
      </c>
      <c r="T269" s="190">
        <f t="shared" si="8"/>
        <v>3.7902117780830302E-3</v>
      </c>
    </row>
    <row r="270">
      <c r="N270" s="187">
        <v>46199</v>
      </c>
      <c r="O270" s="188">
        <v>322.14999999999998</v>
      </c>
      <c r="P270" s="188">
        <v>6456.56</v>
      </c>
      <c r="Q270" s="188">
        <v>635.88</v>
      </c>
      <c r="R270" s="190">
        <f t="shared" si="8"/>
        <v>4.7642276422764196E-2</v>
      </c>
      <c r="S270" s="190">
        <f t="shared" si="8"/>
        <v>-1.3082855024724171E-2</v>
      </c>
      <c r="T270" s="190">
        <f t="shared" si="8"/>
        <v>4.247887855759469E-4</v>
      </c>
    </row>
  </sheetData>
  <mergeCells>
    <mergeCell ref="G32:G33"/>
    <mergeCell ref="G21:J21"/>
    <mergeCell ref="G34:G35"/>
    <mergeCell ref="A1:U3"/>
    <mergeCell ref="A4:G4"/>
    <mergeCell ref="H4:N4"/>
    <mergeCell ref="O4:U4"/>
    <mergeCell ref="A5:U5"/>
    <mergeCell ref="G22:G23"/>
    <mergeCell ref="G24:G25"/>
    <mergeCell ref="G26:G27"/>
    <mergeCell ref="G29:J29"/>
    <mergeCell ref="G30:G31"/>
    <mergeCell ref="C8:J8"/>
    <mergeCell ref="B47:F47"/>
    <mergeCell ref="C50:F50"/>
    <mergeCell ref="B53:F53"/>
    <mergeCell ref="B54:F54"/>
    <mergeCell ref="C21:E21"/>
    <mergeCell ref="C39:F39"/>
  </mergeCells>
  <pageMargins left="0.7" right="0.7" top="0.75" bottom="0.75" header="0.3" footer="0.3"/>
  <drawing r:id="R068207f227e0401c"/>
</worksheet>
</file>

<file path=xl/worksheets/sheet19.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444" customWidth="1"/>
    <col min="2" max="2" width="1.83203125" style="444" customWidth="1"/>
    <col min="3" max="5" width="10.83203125" style="444" customWidth="1"/>
    <col min="6" max="6" width="20.1640625" style="444" customWidth="1"/>
    <col min="7" max="8" width="11.5" style="444" customWidth="1"/>
    <col min="9" max="9" width="11.83203125" style="444" customWidth="1"/>
    <col min="10" max="10" width="11.1640625" style="444" customWidth="1"/>
    <col min="11" max="11" width="11" style="444" customWidth="1"/>
    <col min="12" max="21" width="13.6640625" style="444" customWidth="1"/>
    <col min="22" max="26" width="10.83203125" style="444" customWidth="1"/>
    <col min="27" max="16384" width="10.5" style="439" customWidth="0"/>
  </cols>
  <sheetData>
    <row r="1" ht="15.75" customHeight="1">
      <c r="A1" s="438" t="s">
        <v>480</v>
      </c>
      <c r="B1" s="438"/>
      <c r="C1" s="438"/>
      <c r="D1" s="438"/>
      <c r="E1" s="438"/>
      <c r="F1" s="438"/>
      <c r="G1" s="438"/>
      <c r="H1" s="438"/>
      <c r="I1" s="438"/>
      <c r="J1" s="438"/>
      <c r="K1" s="438"/>
      <c r="L1" s="438"/>
      <c r="M1" s="438"/>
      <c r="N1" s="438"/>
      <c r="O1" s="438"/>
      <c r="P1" s="438"/>
      <c r="Q1" s="438"/>
      <c r="R1" s="438"/>
      <c r="S1" s="438"/>
      <c r="T1" s="438"/>
      <c r="U1" s="438"/>
      <c r="V1" s="438"/>
      <c r="W1" s="438"/>
      <c r="X1" s="438"/>
      <c r="Y1" s="438"/>
      <c r="Z1" s="438"/>
    </row>
    <row r="2" ht="15.75" customHeight="1">
      <c r="A2" s="438"/>
      <c r="B2" s="438"/>
      <c r="C2" s="438"/>
      <c r="D2" s="438"/>
      <c r="E2" s="438"/>
      <c r="F2" s="438"/>
      <c r="G2" s="438"/>
      <c r="H2" s="438"/>
      <c r="I2" s="438"/>
      <c r="J2" s="438"/>
      <c r="K2" s="438"/>
      <c r="L2" s="438"/>
      <c r="M2" s="438"/>
      <c r="N2" s="438"/>
      <c r="O2" s="438"/>
      <c r="P2" s="438"/>
      <c r="Q2" s="438"/>
      <c r="R2" s="438"/>
      <c r="S2" s="438"/>
      <c r="T2" s="438"/>
      <c r="U2" s="438"/>
      <c r="V2" s="438"/>
      <c r="W2" s="438"/>
      <c r="X2" s="438"/>
      <c r="Y2" s="438"/>
      <c r="Z2" s="438"/>
    </row>
    <row r="3" ht="15.75" customHeight="1">
      <c r="A3" s="438"/>
      <c r="B3" s="438"/>
      <c r="C3" s="438"/>
      <c r="D3" s="438"/>
      <c r="E3" s="438"/>
      <c r="F3" s="438"/>
      <c r="G3" s="438"/>
      <c r="H3" s="438"/>
      <c r="I3" s="438"/>
      <c r="J3" s="438"/>
      <c r="K3" s="438"/>
      <c r="L3" s="438"/>
      <c r="M3" s="438"/>
      <c r="N3" s="438"/>
      <c r="O3" s="438"/>
      <c r="P3" s="438"/>
      <c r="Q3" s="438"/>
      <c r="R3" s="438"/>
      <c r="S3" s="438"/>
      <c r="T3" s="438"/>
      <c r="U3" s="438"/>
      <c r="V3" s="438"/>
      <c r="W3" s="438"/>
      <c r="X3" s="438"/>
      <c r="Y3" s="438"/>
      <c r="Z3" s="438"/>
    </row>
    <row r="4" ht="4.5" customHeight="1">
      <c r="A4" s="440"/>
      <c r="B4" s="440"/>
      <c r="C4" s="440"/>
      <c r="D4" s="440"/>
      <c r="E4" s="440"/>
      <c r="F4" s="440"/>
      <c r="G4" s="440"/>
      <c r="H4" s="441"/>
      <c r="I4" s="441"/>
      <c r="J4" s="441"/>
      <c r="K4" s="441"/>
      <c r="L4" s="441"/>
      <c r="M4" s="441"/>
      <c r="N4" s="441"/>
      <c r="O4" s="442"/>
      <c r="P4" s="442"/>
      <c r="Q4" s="442"/>
      <c r="R4" s="442"/>
      <c r="S4" s="442"/>
      <c r="T4" s="442"/>
      <c r="U4" s="442"/>
      <c r="V4" s="442"/>
      <c r="W4" s="442"/>
      <c r="X4" s="442"/>
      <c r="Y4" s="442"/>
      <c r="Z4" s="442"/>
    </row>
    <row r="5" ht="1.5" customHeight="1">
      <c r="A5" s="443"/>
      <c r="B5" s="443"/>
      <c r="C5" s="443"/>
      <c r="D5" s="443"/>
      <c r="E5" s="443"/>
      <c r="F5" s="443"/>
      <c r="G5" s="443"/>
      <c r="H5" s="443"/>
      <c r="I5" s="443"/>
      <c r="J5" s="443"/>
      <c r="K5" s="443"/>
      <c r="L5" s="443"/>
      <c r="M5" s="443"/>
      <c r="N5" s="443"/>
      <c r="O5" s="443"/>
      <c r="P5" s="443"/>
      <c r="Q5" s="443"/>
      <c r="R5" s="443"/>
      <c r="S5" s="443"/>
      <c r="T5" s="443"/>
      <c r="U5" s="443"/>
      <c r="V5" s="443"/>
      <c r="W5" s="443"/>
      <c r="X5" s="443"/>
      <c r="Y5" s="443"/>
      <c r="Z5" s="443"/>
    </row>
    <row r="6" ht="15.75" customHeight="1">
      <c r="Z6" s="444" t="s">
        <v>49</v>
      </c>
    </row>
    <row r="7" ht="15.75" customHeight="1">
      <c r="U7" s="445" t="s">
        <v>49</v>
      </c>
    </row>
    <row r="8" ht="15.75" customHeight="1">
      <c r="G8" s="446" t="s">
        <v>44</v>
      </c>
      <c r="H8" s="446" t="s">
        <v>45</v>
      </c>
      <c r="I8" s="446" t="s">
        <v>46</v>
      </c>
      <c r="J8" s="446" t="s">
        <v>47</v>
      </c>
      <c r="K8" s="446" t="s">
        <v>48</v>
      </c>
      <c r="L8" s="447" t="s">
        <v>257</v>
      </c>
      <c r="M8" s="447" t="s">
        <v>258</v>
      </c>
      <c r="N8" s="447" t="s">
        <v>259</v>
      </c>
      <c r="O8" s="447" t="s">
        <v>260</v>
      </c>
      <c r="P8" s="447" t="s">
        <v>261</v>
      </c>
      <c r="Q8" s="447" t="s">
        <v>262</v>
      </c>
      <c r="R8" s="447" t="s">
        <v>263</v>
      </c>
      <c r="S8" s="447" t="s">
        <v>264</v>
      </c>
      <c r="T8" s="447" t="s">
        <v>265</v>
      </c>
      <c r="U8" s="447" t="s">
        <v>266</v>
      </c>
      <c r="V8" s="448"/>
    </row>
    <row r="9" ht="15.75" customHeight="1">
      <c r="B9" s="449" t="s">
        <v>481</v>
      </c>
      <c r="E9" s="450"/>
      <c r="F9" s="450"/>
      <c r="G9" s="451"/>
      <c r="H9" s="451"/>
      <c r="I9" s="451"/>
      <c r="J9" s="451"/>
      <c r="K9" s="451"/>
      <c r="L9" s="461"/>
      <c r="M9" s="461"/>
      <c r="N9" s="461"/>
      <c r="O9" s="461"/>
      <c r="P9" s="461"/>
      <c r="Q9" s="461"/>
      <c r="R9" s="461"/>
      <c r="S9" s="461"/>
      <c r="T9" s="461"/>
      <c r="U9" s="461"/>
    </row>
    <row r="10" ht="15.75" customHeight="1">
      <c r="C10" s="452" t="s">
        <v>482</v>
      </c>
      <c r="E10" s="453"/>
      <c r="F10" s="453"/>
      <c r="G10" s="451" t="n">
        <f>Forecasts!G37</f>
        <v>1075488</v>
      </c>
      <c r="H10" s="451" t="n">
        <f>Forecasts!H37</f>
        <v>1227382</v>
      </c>
      <c r="I10" s="451" t="n">
        <f>Forecasts!I37</f>
        <v>1617369</v>
      </c>
      <c r="J10" s="451" t="n">
        <f>Forecasts!J37</f>
        <v>1887751</v>
      </c>
      <c r="K10" s="451" t="n">
        <f>Forecasts!K37</f>
        <v>2109716</v>
      </c>
      <c r="L10" s="461" t="n">
        <f>Forecasts!L37</f>
        <v>2237468.540105</v>
      </c>
      <c r="M10" s="461" t="n">
        <f>Forecasts!M37</f>
        <v>2383298.9800434997</v>
      </c>
      <c r="N10" s="461" t="n">
        <f>Forecasts!N37</f>
        <v>2537150.3749261815</v>
      </c>
      <c r="O10" s="461" t="n">
        <f>Forecasts!O37</f>
        <v>2685857.5959245716</v>
      </c>
      <c r="P10" s="461" t="n">
        <f>Forecasts!P37</f>
        <v>2827402.5369314514</v>
      </c>
      <c r="Q10" s="461" t="n">
        <f>Forecasts!Q37</f>
        <v>2951663.058555111</v>
      </c>
      <c r="R10" s="461" t="n">
        <f>Forecasts!R37</f>
        <v>3064171.550469346</v>
      </c>
      <c r="S10" s="461" t="n">
        <f>Forecasts!S37</f>
        <v>3159393.849327259</v>
      </c>
      <c r="T10" s="461" t="n">
        <f>Forecasts!T37</f>
        <v>3254946.542699031</v>
      </c>
      <c r="U10" s="461" t="n">
        <f>Forecasts!U37</f>
        <v>3330494.2719184724</v>
      </c>
    </row>
    <row r="11" ht="15.75" customHeight="1">
      <c r="C11" s="452" t="s">
        <v>483</v>
      </c>
      <c r="E11" s="453"/>
      <c r="F11" s="453"/>
      <c r="G11" s="451" t="n">
        <f>-Forecasts!G34</f>
        <v>-6896</v>
      </c>
      <c r="H11" s="451" t="n">
        <f>-Forecasts!H34</f>
        <v>-6175</v>
      </c>
      <c r="I11" s="451" t="n">
        <f>-Forecasts!I34</f>
        <v>-6137</v>
      </c>
      <c r="J11" s="451" t="n">
        <f>-Forecasts!J34</f>
        <v>-8245</v>
      </c>
      <c r="K11" s="451" t="n">
        <f>-Forecasts!K34</f>
        <v>-12572</v>
      </c>
      <c r="L11" s="461" t="n">
        <f>-Forecasts!L34</f>
        <v>-13200.6</v>
      </c>
      <c r="M11" s="461" t="n">
        <f>-Forecasts!M34</f>
        <v>-13860.630000000001</v>
      </c>
      <c r="N11" s="461" t="n">
        <f>-Forecasts!N34</f>
        <v>-14553.661500000002</v>
      </c>
      <c r="O11" s="461" t="n">
        <f>-Forecasts!O34</f>
        <v>-15281.344575000003</v>
      </c>
      <c r="P11" s="461" t="n">
        <f>-Forecasts!P34</f>
        <v>-16045.411803750003</v>
      </c>
      <c r="Q11" s="461" t="n">
        <f>-Forecasts!Q34</f>
        <v>-16847.682393937503</v>
      </c>
      <c r="R11" s="461" t="n">
        <f>-Forecasts!R34</f>
        <v>-17690.066513634378</v>
      </c>
      <c r="S11" s="461" t="n">
        <f>-Forecasts!S34</f>
        <v>-18574.569839316096</v>
      </c>
      <c r="T11" s="461" t="n">
        <f>-Forecasts!T34</f>
        <v>-19503.2983312819</v>
      </c>
      <c r="U11" s="461" t="n">
        <f>-Forecasts!U34</f>
        <v>-20478.463247845997</v>
      </c>
    </row>
    <row r="12" ht="15.75" customHeight="1">
      <c r="B12" s="454" t="s">
        <v>484</v>
      </c>
      <c r="C12" s="455"/>
      <c r="E12" s="453"/>
      <c r="F12" s="453"/>
      <c r="G12" s="456" t="n">
        <f t="shared" ref="G12:U12" si="0">G10+G11</f>
        <v>1068592</v>
      </c>
      <c r="H12" s="456">
        <f t="shared" si="0"/>
        <v>1221207</v>
      </c>
      <c r="I12" s="456">
        <f t="shared" si="0"/>
        <v>1611232</v>
      </c>
      <c r="J12" s="456">
        <f t="shared" si="0"/>
        <v>1879506</v>
      </c>
      <c r="K12" s="456">
        <f t="shared" si="0"/>
        <v>2097144</v>
      </c>
      <c r="L12" s="462">
        <f t="shared" si="0"/>
        <v>2224267.940105</v>
      </c>
      <c r="M12" s="462">
        <f t="shared" si="0"/>
        <v>2369438.3500434998</v>
      </c>
      <c r="N12" s="462">
        <f t="shared" si="0"/>
        <v>2522596.7134261816</v>
      </c>
      <c r="O12" s="462">
        <f t="shared" si="0"/>
        <v>2670576.2513495716</v>
      </c>
      <c r="P12" s="462">
        <f t="shared" si="0"/>
        <v>2811357.1251277016</v>
      </c>
      <c r="Q12" s="462">
        <f t="shared" si="0"/>
        <v>2934815.3761611735</v>
      </c>
      <c r="R12" s="462">
        <f t="shared" si="0"/>
        <v>3046481.4839557116</v>
      </c>
      <c r="S12" s="462">
        <f t="shared" si="0"/>
        <v>3140819.2794879433</v>
      </c>
      <c r="T12" s="462">
        <f t="shared" si="0"/>
        <v>3235443.244367749</v>
      </c>
      <c r="U12" s="462">
        <f t="shared" si="0"/>
        <v>3310015.8086706265</v>
      </c>
    </row>
    <row r="13" s="178" customFormat="1" ht="15.75" customHeight="1">
      <c r="C13" s="178" t="s">
        <v>279</v>
      </c>
      <c r="G13" s="288" t="n">
        <f>Forecasts!G42/Forecasts!G41</f>
        <v>0.20062251074857684</v>
      </c>
      <c r="H13" s="288" t="n">
        <f>Forecasts!H42/Forecasts!H41</f>
        <v>0.20247825119760632</v>
      </c>
      <c r="I13" s="288" t="n">
        <f>Forecasts!I42/Forecasts!I41</f>
        <v>0.21524394734247237</v>
      </c>
      <c r="J13" s="288" t="n">
        <f>Forecasts!J42/Forecasts!J41</f>
        <v>0.192192406810958</v>
      </c>
      <c r="K13" s="288" t="n">
        <f>Forecasts!K42/Forecasts!K41</f>
        <v>0.22490362879094414</v>
      </c>
      <c r="L13" s="396" t="n">
        <f>Forecasts!L42/Forecasts!L41</f>
        <v>0.225</v>
      </c>
      <c r="M13" s="396" t="n">
        <f>Forecasts!M42/Forecasts!M41</f>
        <v>0.225</v>
      </c>
      <c r="N13" s="396" t="n">
        <f>Forecasts!N42/Forecasts!N41</f>
        <v>0.22499999999999998</v>
      </c>
      <c r="O13" s="396" t="n">
        <f>Forecasts!O42/Forecasts!O41</f>
        <v>0.22500000000000003</v>
      </c>
      <c r="P13" s="396" t="n">
        <f>Forecasts!P42/Forecasts!P41</f>
        <v>0.225</v>
      </c>
      <c r="Q13" s="396" t="n">
        <f>Forecasts!Q42/Forecasts!Q41</f>
        <v>0.225</v>
      </c>
      <c r="R13" s="396" t="n">
        <f>Forecasts!R42/Forecasts!R41</f>
        <v>0.225</v>
      </c>
      <c r="S13" s="396" t="n">
        <f>Forecasts!S42/Forecasts!S41</f>
        <v>0.225</v>
      </c>
      <c r="T13" s="396" t="n">
        <f>Forecasts!T42/Forecasts!T41</f>
        <v>0.22499999999999998</v>
      </c>
      <c r="U13" s="396" t="n">
        <f>Forecasts!U42/Forecasts!U41</f>
        <v>0.225</v>
      </c>
    </row>
    <row r="14" ht="15.75" customHeight="1">
      <c r="B14" s="454" t="s">
        <v>485</v>
      </c>
      <c r="C14" s="455"/>
      <c r="D14" s="455"/>
      <c r="E14" s="455"/>
      <c r="F14" s="455"/>
      <c r="G14" s="457" t="n">
        <f t="shared" ref="G14:U14" si="1">G12*(1-G13)</f>
        <v>854208.3899941568</v>
      </c>
      <c r="H14" s="457">
        <f t="shared" si="1"/>
        <v>973939.14228972478</v>
      </c>
      <c r="I14" s="457">
        <f t="shared" si="1"/>
        <v>1264424.0642354935</v>
      </c>
      <c r="J14" s="457">
        <f t="shared" si="1"/>
        <v>1518279.2182443636</v>
      </c>
      <c r="K14" s="457">
        <f t="shared" si="1"/>
        <v>1625488.7043028441</v>
      </c>
      <c r="L14" s="463">
        <f t="shared" si="1"/>
        <v>1723807.653581375</v>
      </c>
      <c r="M14" s="463">
        <f t="shared" si="1"/>
        <v>1836314.7212837124</v>
      </c>
      <c r="N14" s="463">
        <f t="shared" si="1"/>
        <v>1955012.4529052908</v>
      </c>
      <c r="O14" s="463">
        <f t="shared" si="1"/>
        <v>2069696.5947959179</v>
      </c>
      <c r="P14" s="463">
        <f t="shared" si="1"/>
        <v>2178801.7719739689</v>
      </c>
      <c r="Q14" s="463">
        <f t="shared" si="1"/>
        <v>2274481.9165249094</v>
      </c>
      <c r="R14" s="463">
        <f t="shared" si="1"/>
        <v>2361023.1500656768</v>
      </c>
      <c r="S14" s="463">
        <f t="shared" si="1"/>
        <v>2434134.9416031563</v>
      </c>
      <c r="T14" s="463">
        <f t="shared" si="1"/>
        <v>2507468.5143850055</v>
      </c>
      <c r="U14" s="463">
        <f t="shared" si="1"/>
        <v>2565262.2517197356</v>
      </c>
    </row>
    <row r="15" ht="15.75" customHeight="1">
      <c r="B15" s="458"/>
      <c r="C15" s="459" t="s">
        <v>486</v>
      </c>
      <c r="E15" s="460"/>
      <c r="F15" s="460"/>
      <c r="G15" s="451" t="n">
        <f>Forecasts!G29+Forecasts!G38</f>
        <v>455989</v>
      </c>
      <c r="H15" s="451" t="n">
        <f>Forecasts!H29+Forecasts!H38</f>
        <v>546225</v>
      </c>
      <c r="I15" s="451" t="n">
        <f>Forecasts!I29+Forecasts!I38</f>
        <v>662305</v>
      </c>
      <c r="J15" s="451" t="n">
        <f>Forecasts!J29+Forecasts!J38</f>
        <v>666777</v>
      </c>
      <c r="K15" s="451" t="n">
        <f>Forecasts!K29+Forecasts!K38</f>
        <v>661937</v>
      </c>
      <c r="L15" s="461" t="n">
        <f>Forecasts!L29+Forecasts!L38</f>
        <v>698504.213535</v>
      </c>
      <c r="M15" s="461" t="n">
        <f>Forecasts!M29+Forecasts!M38</f>
        <v>747764.8238265499</v>
      </c>
      <c r="N15" s="461" t="n">
        <f>Forecasts!N29+Forecasts!N38</f>
        <v>800071.9162578405</v>
      </c>
      <c r="O15" s="461" t="n">
        <f>Forecasts!O29+Forecasts!O38</f>
        <v>861064.0866864421</v>
      </c>
      <c r="P15" s="461" t="n">
        <f>Forecasts!P29+Forecasts!P38</f>
        <v>912908.7507879136</v>
      </c>
      <c r="Q15" s="461" t="n">
        <f>Forecasts!Q29+Forecasts!Q38</f>
        <v>963912.7662634914</v>
      </c>
      <c r="R15" s="461" t="n">
        <f>Forecasts!R29+Forecasts!R38</f>
        <v>1013173.8468563561</v>
      </c>
      <c r="S15" s="461" t="n">
        <f>Forecasts!S29+Forecasts!S38</f>
        <v>1069666.3690330621</v>
      </c>
      <c r="T15" s="461" t="n">
        <f>Forecasts!T29+Forecasts!T38</f>
        <v>1117375.186328182</v>
      </c>
      <c r="U15" s="461" t="n">
        <f>Forecasts!U29+Forecasts!U38</f>
        <v>1160956.4437639588</v>
      </c>
    </row>
    <row r="16" ht="15.75" customHeight="1">
      <c r="C16" s="459" t="s">
        <v>487</v>
      </c>
      <c r="G16" s="451" t="n">
        <f>-'Capex &amp; D&amp;A Schedule'!G14</f>
        <v>-737143</v>
      </c>
      <c r="H16" s="451" t="n">
        <f>-'Capex &amp; D&amp;A Schedule'!H14</f>
        <v>-804619</v>
      </c>
      <c r="I16" s="451" t="n">
        <f>-'Capex &amp; D&amp;A Schedule'!I14</f>
        <v>-868910</v>
      </c>
      <c r="J16" s="451" t="n">
        <f>-'Capex &amp; D&amp;A Schedule'!J14</f>
        <v>-989151</v>
      </c>
      <c r="K16" s="451" t="n">
        <f>-'Capex &amp; D&amp;A Schedule'!K14</f>
        <v>-943186</v>
      </c>
      <c r="L16" s="461" t="n">
        <f>-'Capex &amp; D&amp;A Schedule'!L14</f>
        <v>-1051511.7193000002</v>
      </c>
      <c r="M16" s="461" t="n">
        <f>-'Capex &amp; D&amp;A Schedule'!M14</f>
        <v>-1097782.40093685</v>
      </c>
      <c r="N16" s="461" t="n">
        <f>-'Capex &amp; D&amp;A Schedule'!N14</f>
        <v>-1145366.111695435</v>
      </c>
      <c r="O16" s="461" t="n">
        <f>-'Capex &amp; D&amp;A Schedule'!O14</f>
        <v>-1180634.2631886269</v>
      </c>
      <c r="P16" s="461" t="n">
        <f>-'Capex &amp; D&amp;A Schedule'!P14</f>
        <v>-1220316.7995226195</v>
      </c>
      <c r="Q16" s="461" t="n">
        <f>-'Capex &amp; D&amp;A Schedule'!Q14</f>
        <v>-1256007.5439190948</v>
      </c>
      <c r="R16" s="461" t="n">
        <f>-'Capex &amp; D&amp;A Schedule'!R14</f>
        <v>-1286730.7855075723</v>
      </c>
      <c r="S16" s="461" t="n">
        <f>-'Capex &amp; D&amp;A Schedule'!S14</f>
        <v>-1300378.7231382325</v>
      </c>
      <c r="T16" s="461" t="n">
        <f>-'Capex &amp; D&amp;A Schedule'!T14</f>
        <v>-1323492.939146002</v>
      </c>
      <c r="U16" s="461" t="n">
        <f>-'Capex &amp; D&amp;A Schedule'!U14</f>
        <v>-1339565.1274199523</v>
      </c>
    </row>
    <row r="17" ht="15.75" customHeight="1">
      <c r="B17" s="460"/>
      <c r="C17" s="459" t="s">
        <v>488</v>
      </c>
      <c r="G17" s="451" t="n">
        <f>-'WC Schedule'!G31</f>
        <v>0</v>
      </c>
      <c r="H17" s="451" t="n">
        <f>-'WC Schedule'!H31</f>
        <v>61831</v>
      </c>
      <c r="I17" s="451" t="n">
        <f>-'WC Schedule'!I31</f>
        <v>-146183</v>
      </c>
      <c r="J17" s="451" t="n">
        <f>-'WC Schedule'!J31</f>
        <v>-192360</v>
      </c>
      <c r="K17" s="451" t="n">
        <f>-'WC Schedule'!K31</f>
        <v>73942</v>
      </c>
      <c r="L17" s="461" t="n">
        <f>-'WC Schedule'!L31</f>
        <v>28798.010405096225</v>
      </c>
      <c r="M17" s="461" t="n">
        <f>-'WC Schedule'!M31</f>
        <v>36195.683975870954</v>
      </c>
      <c r="N17" s="461" t="n">
        <f>-'WC Schedule'!N31</f>
        <v>38088.779307392426</v>
      </c>
      <c r="O17" s="461" t="n">
        <f>-'WC Schedule'!O31</f>
        <v>37221.025026145624</v>
      </c>
      <c r="P17" s="461" t="n">
        <f>-'WC Schedule'!P31</f>
        <v>35951.0408331668</v>
      </c>
      <c r="Q17" s="461" t="n">
        <f>-'WC Schedule'!Q31</f>
        <v>33853.443796160514</v>
      </c>
      <c r="R17" s="461" t="n">
        <f>-'WC Schedule'!R31</f>
        <v>31775.16987847397</v>
      </c>
      <c r="S17" s="461" t="n">
        <f>-'WC Schedule'!S31</f>
        <v>28554.676655710442</v>
      </c>
      <c r="T17" s="461" t="n">
        <f>-'WC Schedule'!T31</f>
        <v>29052.38231880858</v>
      </c>
      <c r="U17" s="461" t="n">
        <f>-'WC Schedule'!U31</f>
        <v>25303.02234564349</v>
      </c>
    </row>
    <row r="18" ht="15.75" customHeight="1">
      <c r="B18" s="454" t="s">
        <v>481</v>
      </c>
      <c r="G18" s="457" t="n">
        <f t="shared" ref="G18:U18" si="2">G14+G15+G16+G17</f>
        <v>573054.3899941568</v>
      </c>
      <c r="H18" s="457">
        <f t="shared" si="2"/>
        <v>777376.14228972467</v>
      </c>
      <c r="I18" s="457">
        <f t="shared" si="2"/>
        <v>911636.06423549354</v>
      </c>
      <c r="J18" s="457">
        <f t="shared" si="2"/>
        <v>1003545.2182443636</v>
      </c>
      <c r="K18" s="457">
        <f t="shared" si="2"/>
        <v>1418181.7043028441</v>
      </c>
      <c r="L18" s="463">
        <f t="shared" si="2"/>
        <v>1399598.1582214709</v>
      </c>
      <c r="M18" s="463">
        <f t="shared" si="2"/>
        <v>1522492.8281492833</v>
      </c>
      <c r="N18" s="463">
        <f t="shared" si="2"/>
        <v>1647807.0367750889</v>
      </c>
      <c r="O18" s="463">
        <f t="shared" si="2"/>
        <v>1787347.4433198785</v>
      </c>
      <c r="P18" s="463">
        <f t="shared" si="2"/>
        <v>1907344.7640724296</v>
      </c>
      <c r="Q18" s="463">
        <f t="shared" si="2"/>
        <v>2016240.5826654667</v>
      </c>
      <c r="R18" s="463">
        <f t="shared" si="2"/>
        <v>2119241.3812929345</v>
      </c>
      <c r="S18" s="463">
        <f t="shared" si="2"/>
        <v>2231977.2641536966</v>
      </c>
      <c r="T18" s="463">
        <f t="shared" si="2"/>
        <v>2330403.1438859943</v>
      </c>
      <c r="U18" s="463">
        <f t="shared" si="2"/>
        <v>2411956.5904093855</v>
      </c>
    </row>
    <row r="19" s="178" customFormat="1" ht="15.75" customHeight="1">
      <c r="C19" s="178" t="s">
        <v>489</v>
      </c>
      <c r="G19" s="288" t="n">
        <f>G18/Forecasts!G15</f>
        <v>0.13417668291326285</v>
      </c>
      <c r="H19" s="288" t="n">
        <f>H18/Forecasts!H15</f>
        <v>0.15256867317894743</v>
      </c>
      <c r="I19" s="288" t="n">
        <f>I18/Forecasts!I15</f>
        <v>0.15269912398046773</v>
      </c>
      <c r="J19" s="288" t="n">
        <f>J18/Forecasts!J15</f>
        <v>0.15030629323554257</v>
      </c>
      <c r="K19" s="288" t="n">
        <f>K18/Forecasts!K15</f>
        <v>0.19846456032477464</v>
      </c>
      <c r="L19" s="396" t="n">
        <f>L18/Forecasts!L15</f>
        <v>0.18634480106550527</v>
      </c>
      <c r="M19" s="396" t="n">
        <f>M18/Forecasts!M15</f>
        <v>0.19138948675557002</v>
      </c>
      <c r="N19" s="396" t="n">
        <f>N18/Forecasts!N15</f>
        <v>0.19565949674352087</v>
      </c>
      <c r="O19" s="396" t="n">
        <f>O18/Forecasts!O15</f>
        <v>0.20134703639679513</v>
      </c>
      <c r="P19" s="396" t="n">
        <f>P18/Forecasts!P15</f>
        <v>0.204751884257623</v>
      </c>
      <c r="Q19" s="396" t="n">
        <f>Q18/Forecasts!Q15</f>
        <v>0.2070807905757285</v>
      </c>
      <c r="R19" s="396" t="n">
        <f>R18/Forecasts!R15</f>
        <v>0.2091685832464438</v>
      </c>
      <c r="S19" s="396" t="n">
        <f>S18/Forecasts!S15</f>
        <v>0.21283428883482106</v>
      </c>
      <c r="T19" s="396" t="n">
        <f>T18/Forecasts!T15</f>
        <v>0.21481730286943945</v>
      </c>
      <c r="U19" s="396" t="n">
        <f>U18/Forecasts!U15</f>
        <v>0.21606623293231547</v>
      </c>
    </row>
    <row r="20" s="178" customFormat="1" ht="15.75" customHeight="1">
      <c r="C20" s="178" t="s">
        <v>490</v>
      </c>
      <c r="G20" s="288" t="n">
        <f t="shared" ref="G20:U20" si="3">G18/G14</f>
        <v>0.6708601749955614</v>
      </c>
      <c r="H20" s="288">
        <f t="shared" si="3"/>
        <v>0.79817732806396735</v>
      </c>
      <c r="I20" s="288">
        <f t="shared" si="3"/>
        <v>0.72098917603778323</v>
      </c>
      <c r="J20" s="288">
        <f t="shared" si="3"/>
        <v>0.6609754030650542</v>
      </c>
      <c r="K20" s="288">
        <f t="shared" si="3"/>
        <v>0.87246481661100694</v>
      </c>
      <c r="L20" s="396">
        <f t="shared" si="3"/>
        <v>0.81192246438497473</v>
      </c>
      <c r="M20" s="396">
        <f t="shared" si="3"/>
        <v>0.82910233768912678</v>
      </c>
      <c r="N20" s="396">
        <f t="shared" si="3"/>
        <v>0.8428626806577767</v>
      </c>
      <c r="O20" s="396">
        <f t="shared" si="3"/>
        <v>0.86357944822154942</v>
      </c>
      <c r="P20" s="396">
        <f t="shared" si="3"/>
        <v>0.87540995633778906</v>
      </c>
      <c r="Q20" s="396">
        <f t="shared" si="3"/>
        <v>0.88646146976011164</v>
      </c>
      <c r="R20" s="396">
        <f t="shared" si="3"/>
        <v>0.89759449467235564</v>
      </c>
      <c r="S20" s="396">
        <f t="shared" si="3"/>
        <v>0.91694886179304602</v>
      </c>
      <c r="T20" s="396">
        <f t="shared" si="3"/>
        <v>0.92938480803120305</v>
      </c>
      <c r="U20" s="396">
        <f t="shared" si="3"/>
        <v>0.94023782121785993</v>
      </c>
    </row>
  </sheetData>
  <mergeCells>
    <mergeCell ref="A1:Z3"/>
    <mergeCell ref="A4:G4"/>
    <mergeCell ref="H4:N4"/>
    <mergeCell ref="O4:Z4"/>
    <mergeCell ref="A5:Z5"/>
  </mergeCells>
  <pageMargins left="0.7" right="0.7" top="0.75" bottom="0.75" header="0.3" footer="0.3"/>
  <drawing r:id="R7a1a6dcb77874ecc"/>
</worksheet>
</file>

<file path=xl/worksheets/sheet2.xml><?xml version="1.0" encoding="utf-8"?>
<worksheet xmlns="http://schemas.openxmlformats.org/spreadsheetml/2006/main" xmlns:r="http://schemas.openxmlformats.org/officeDocument/2006/relationships">
  <sheetPr>
    <tabColor rgb="FFFFC000"/>
  </sheetPr>
  <sheetViews>
    <sheetView showGridLines="0" workbookViewId="0"/>
  </sheetViews>
  <sheetFormatPr baseColWidth="10" defaultColWidth="10.5" defaultRowHeight="16"/>
  <cols>
    <col min="2" max="2" width="3.33203125" customWidth="1"/>
    <col min="4" max="4" width="19.83203125" customWidth="1"/>
    <col min="5" max="5" width="14.33203125" customWidth="1"/>
    <col min="6" max="6" width="15.6640625" customWidth="1"/>
    <col min="7" max="7" width="22" customWidth="1"/>
    <col min="14" max="14" width="26.6640625" customWidth="1"/>
    <col min="15" max="15" width="24.6640625" customWidth="1"/>
  </cols>
  <sheetData>
    <row r="1" ht="15.75" customHeight="1">
      <c r="A1" s="300" t="s">
        <v>3</v>
      </c>
      <c r="B1" s="300"/>
      <c r="C1" s="300"/>
      <c r="D1" s="300"/>
      <c r="E1" s="300"/>
      <c r="F1" s="300"/>
      <c r="G1" s="300"/>
      <c r="H1" s="300"/>
      <c r="I1" s="300"/>
      <c r="J1" s="300"/>
      <c r="K1" s="300"/>
      <c r="L1" s="300"/>
      <c r="M1" s="300"/>
      <c r="N1" s="300"/>
      <c r="O1" s="300"/>
      <c r="P1" s="300"/>
      <c r="Q1" s="300"/>
      <c r="R1" s="300"/>
      <c r="S1" s="300"/>
      <c r="T1" s="300"/>
      <c r="U1" s="300"/>
    </row>
    <row r="2" ht="15.75" customHeight="1">
      <c r="A2" s="300"/>
      <c r="B2" s="300"/>
      <c r="C2" s="300"/>
      <c r="D2" s="300"/>
      <c r="E2" s="300"/>
      <c r="F2" s="300"/>
      <c r="G2" s="300"/>
      <c r="H2" s="300"/>
      <c r="I2" s="300"/>
      <c r="J2" s="300"/>
      <c r="K2" s="300"/>
      <c r="L2" s="300"/>
      <c r="M2" s="300"/>
      <c r="N2" s="300"/>
      <c r="O2" s="300"/>
      <c r="P2" s="300"/>
      <c r="Q2" s="300"/>
      <c r="R2" s="300"/>
      <c r="S2" s="300"/>
      <c r="T2" s="300"/>
      <c r="U2" s="300"/>
    </row>
    <row r="3" ht="15.75" customHeight="1">
      <c r="A3" s="300"/>
      <c r="B3" s="300"/>
      <c r="C3" s="300"/>
      <c r="D3" s="300"/>
      <c r="E3" s="300"/>
      <c r="F3" s="300"/>
      <c r="G3" s="300"/>
      <c r="H3" s="300"/>
      <c r="I3" s="300"/>
      <c r="J3" s="300"/>
      <c r="K3" s="300"/>
      <c r="L3" s="300"/>
      <c r="M3" s="300"/>
      <c r="N3" s="300"/>
      <c r="O3" s="300"/>
      <c r="P3" s="300"/>
      <c r="Q3" s="300"/>
      <c r="R3" s="300"/>
      <c r="S3" s="300"/>
      <c r="T3" s="300"/>
      <c r="U3" s="300"/>
    </row>
    <row r="4" ht="4.5" customHeight="1">
      <c r="A4" s="301"/>
      <c r="B4" s="301"/>
      <c r="C4" s="301"/>
      <c r="D4" s="301"/>
      <c r="E4" s="301"/>
      <c r="F4" s="301"/>
      <c r="G4" s="301"/>
      <c r="H4" s="294"/>
      <c r="I4" s="294"/>
      <c r="J4" s="294"/>
      <c r="K4" s="294"/>
      <c r="L4" s="294"/>
      <c r="M4" s="294"/>
      <c r="N4" s="294"/>
      <c r="O4" s="302"/>
      <c r="P4" s="302"/>
      <c r="Q4" s="302"/>
      <c r="R4" s="302"/>
      <c r="S4" s="302"/>
      <c r="T4" s="302"/>
      <c r="U4" s="302"/>
    </row>
    <row r="5" ht="1.5" customHeight="1">
      <c r="A5" s="312"/>
      <c r="B5" s="312"/>
      <c r="C5" s="312"/>
      <c r="D5" s="312"/>
      <c r="E5" s="312"/>
      <c r="F5" s="312"/>
      <c r="G5" s="312"/>
      <c r="H5" s="312"/>
      <c r="I5" s="312"/>
      <c r="J5" s="312"/>
      <c r="K5" s="312"/>
      <c r="L5" s="312"/>
      <c r="M5" s="312"/>
      <c r="N5" s="312"/>
      <c r="O5" s="312"/>
      <c r="P5" s="312"/>
      <c r="Q5" s="312"/>
      <c r="R5" s="312"/>
      <c r="S5" s="312"/>
      <c r="T5" s="312"/>
      <c r="U5" s="312"/>
    </row>
    <row r="6" ht="15.75" customHeight="1">
      <c r="A6" s="11"/>
      <c r="B6" s="11"/>
      <c r="C6" s="11"/>
      <c r="D6" s="11"/>
      <c r="E6" s="11"/>
      <c r="F6" s="11"/>
      <c r="G6" s="11"/>
      <c r="H6" s="11"/>
      <c r="I6" s="11"/>
      <c r="J6" s="11"/>
      <c r="K6" s="11"/>
      <c r="L6" s="11"/>
      <c r="M6" s="11"/>
      <c r="N6" s="11"/>
      <c r="O6" s="11"/>
      <c r="P6" s="11"/>
      <c r="Q6" s="11"/>
      <c r="R6" s="11"/>
      <c r="S6" s="11"/>
      <c r="T6" s="11"/>
      <c r="U6" s="11"/>
    </row>
    <row r="7" ht="15.75" customHeight="1">
      <c r="A7" s="11"/>
      <c r="B7" s="11"/>
      <c r="C7" s="11"/>
      <c r="D7" s="11"/>
      <c r="E7" s="11"/>
      <c r="F7" s="11"/>
      <c r="G7" s="11"/>
      <c r="H7" s="11"/>
      <c r="I7" s="11"/>
      <c r="J7" s="11"/>
      <c r="K7" s="11"/>
      <c r="L7" s="11"/>
      <c r="M7" s="11"/>
      <c r="N7" s="11"/>
      <c r="O7" s="11"/>
      <c r="P7" s="11"/>
      <c r="Q7" s="11"/>
      <c r="R7" s="11"/>
      <c r="S7" s="11"/>
      <c r="T7" s="11"/>
      <c r="U7" s="11"/>
    </row>
    <row r="8" ht="15.75" customHeight="1">
      <c r="A8" s="11"/>
      <c r="B8" s="12" t="s">
        <v>4</v>
      </c>
      <c r="C8" s="11"/>
      <c r="D8" s="11"/>
      <c r="E8" s="11"/>
      <c r="F8" s="11"/>
      <c r="G8" s="11"/>
      <c r="H8" s="11"/>
      <c r="I8" s="11"/>
      <c r="J8" s="11"/>
      <c r="K8" s="11"/>
      <c r="L8" s="11"/>
      <c r="M8" s="11"/>
      <c r="N8" s="11"/>
      <c r="O8" s="11"/>
      <c r="P8" s="11"/>
      <c r="Q8" s="11"/>
      <c r="R8" s="11"/>
      <c r="S8" s="11"/>
      <c r="T8" s="11"/>
      <c r="U8" s="11"/>
    </row>
    <row r="9" ht="15" customHeight="1">
      <c r="A9" s="11"/>
      <c r="B9" s="11"/>
      <c r="C9" s="313" t="s">
        <v>5</v>
      </c>
      <c r="D9" s="313"/>
      <c r="E9" s="313"/>
      <c r="F9" s="313"/>
      <c r="G9" s="313"/>
      <c r="H9" s="313"/>
      <c r="I9" s="313"/>
      <c r="J9" s="313"/>
      <c r="K9" s="313"/>
      <c r="L9" s="313"/>
      <c r="M9" s="313"/>
      <c r="N9" s="313"/>
      <c r="O9" s="313"/>
      <c r="P9" s="313"/>
      <c r="Q9" s="313"/>
      <c r="R9" s="313"/>
      <c r="S9" s="313"/>
      <c r="T9" s="11"/>
      <c r="U9" s="11"/>
    </row>
    <row r="10" ht="66" customHeight="1">
      <c r="A10" s="11"/>
      <c r="B10" s="11"/>
      <c r="C10" s="313"/>
      <c r="D10" s="313"/>
      <c r="E10" s="313"/>
      <c r="F10" s="313"/>
      <c r="G10" s="313"/>
      <c r="H10" s="313"/>
      <c r="I10" s="313"/>
      <c r="J10" s="313"/>
      <c r="K10" s="313"/>
      <c r="L10" s="313"/>
      <c r="M10" s="313"/>
      <c r="N10" s="313"/>
      <c r="O10" s="313"/>
      <c r="P10" s="313"/>
      <c r="Q10" s="313"/>
      <c r="R10" s="313"/>
      <c r="S10" s="313"/>
      <c r="T10" s="11"/>
      <c r="U10" s="11"/>
    </row>
    <row r="11" ht="15.75" customHeight="1">
      <c r="A11" s="11"/>
      <c r="B11" s="11"/>
      <c r="C11" s="11"/>
      <c r="D11" s="11"/>
      <c r="E11" s="11"/>
      <c r="F11" s="11"/>
      <c r="G11" s="11"/>
      <c r="H11" s="11"/>
      <c r="I11" s="11"/>
      <c r="J11" s="11"/>
      <c r="K11" s="11"/>
      <c r="L11" s="11"/>
      <c r="M11" s="11"/>
      <c r="N11" s="11"/>
      <c r="O11" s="11"/>
      <c r="P11" s="11"/>
      <c r="Q11" s="11"/>
      <c r="R11" s="11"/>
      <c r="S11" s="11"/>
      <c r="T11" s="11"/>
      <c r="U11" s="11"/>
    </row>
    <row r="12" ht="15.75" customHeight="1">
      <c r="A12" s="11"/>
      <c r="B12" s="11"/>
      <c r="C12" s="11"/>
      <c r="D12" s="11"/>
      <c r="E12" s="11"/>
      <c r="F12" s="11"/>
      <c r="G12" s="11"/>
      <c r="H12" s="11"/>
      <c r="I12" s="11"/>
      <c r="J12" s="11"/>
      <c r="K12" s="11"/>
      <c r="L12" s="11"/>
      <c r="M12" s="11"/>
      <c r="N12" s="12"/>
      <c r="O12" s="11"/>
      <c r="P12" s="11"/>
      <c r="Q12" s="11"/>
      <c r="R12" s="11"/>
      <c r="S12" s="11"/>
      <c r="T12" s="11"/>
      <c r="U12" s="11"/>
    </row>
    <row r="13" ht="15.75" customHeight="1">
      <c r="A13" s="11"/>
      <c r="B13" s="479" t="s">
        <v>6</v>
      </c>
      <c r="C13" s="478"/>
      <c r="D13" s="478"/>
      <c r="E13" s="483" t="s">
        <v>7</v>
      </c>
      <c r="F13" s="483" t="s">
        <v>8</v>
      </c>
      <c r="G13" s="483" t="s">
        <v>9</v>
      </c>
      <c r="H13" s="11"/>
      <c r="I13" s="11"/>
      <c r="J13" s="11"/>
      <c r="K13" s="11"/>
      <c r="L13" s="11"/>
      <c r="M13" s="11"/>
      <c r="N13" s="311" t="s">
        <v>10</v>
      </c>
      <c r="O13" s="311"/>
      <c r="P13" s="11"/>
      <c r="Q13" s="11"/>
      <c r="R13" s="11"/>
      <c r="S13" s="11"/>
      <c r="T13" s="11"/>
      <c r="U13" s="11"/>
    </row>
    <row r="14" ht="15.75" customHeight="1">
      <c r="A14" s="11"/>
      <c r="B14" s="177"/>
      <c r="C14" s="177" t="s">
        <v>11</v>
      </c>
      <c r="D14" s="177"/>
      <c r="E14" s="480">
        <v>0.6</v>
      </c>
      <c r="F14" s="484" t="n">
        <f>'DCF Valuation'!F33</f>
        <v>327.3308295429663</v>
      </c>
      <c r="G14" s="486" t="n">
        <f>F14/318.85-1</f>
        <v>0.026598179529453647</v>
      </c>
      <c r="H14" s="11"/>
      <c r="I14" s="11"/>
      <c r="J14" s="11"/>
      <c r="K14" s="11"/>
      <c r="L14" s="11"/>
      <c r="M14" s="11"/>
      <c r="N14" s="177" t="s">
        <v>12</v>
      </c>
      <c r="O14" s="177" t="s">
        <v>13</v>
      </c>
      <c r="P14" s="11"/>
      <c r="Q14" s="11"/>
      <c r="R14" s="11"/>
      <c r="S14" s="11"/>
      <c r="T14" s="11"/>
      <c r="U14" s="11"/>
    </row>
    <row r="15" ht="15.75" customHeight="1">
      <c r="A15" s="11"/>
      <c r="B15" s="177"/>
      <c r="C15" s="177" t="s">
        <v>14</v>
      </c>
      <c r="D15" s="177"/>
      <c r="E15" s="480">
        <v>0.05</v>
      </c>
      <c r="F15" s="485" t="n">
        <f>'Multiples Valuation'!Q46</f>
        <v>213.00286106932913</v>
      </c>
      <c r="G15" s="486" t="n">
        <f t="shared" ref="G15:G17" si="0">F15/318.85-1</f>
        <v>-0.3319653094893238</v>
      </c>
      <c r="H15" s="11"/>
      <c r="I15" s="11"/>
      <c r="J15" s="11"/>
      <c r="K15" s="11"/>
      <c r="L15" s="11"/>
      <c r="M15" s="11"/>
      <c r="N15" s="177" t="s">
        <v>15</v>
      </c>
      <c r="O15" s="177" t="s">
        <v>16</v>
      </c>
      <c r="P15" s="11"/>
      <c r="Q15" s="11"/>
      <c r="R15" s="11"/>
      <c r="S15" s="11"/>
      <c r="T15" s="11"/>
      <c r="U15" s="11"/>
    </row>
    <row r="16" ht="15.75" customHeight="1">
      <c r="A16" s="11"/>
      <c r="B16" s="177"/>
      <c r="C16" s="177" t="s">
        <v>17</v>
      </c>
      <c r="D16" s="177"/>
      <c r="E16" s="480">
        <v>0.35</v>
      </c>
      <c r="F16" s="485" t="n">
        <f>'DDM Valuation'!F35</f>
        <v>337.924215186667</v>
      </c>
      <c r="G16" s="486">
        <f t="shared" si="0"/>
        <v>5.9821907438190491E-2</v>
      </c>
      <c r="H16" s="11"/>
      <c r="I16" s="11"/>
      <c r="J16" s="11"/>
      <c r="K16" s="11"/>
      <c r="L16" s="11"/>
      <c r="M16" s="11"/>
      <c r="N16" s="177" t="s">
        <v>18</v>
      </c>
      <c r="O16" s="177" t="s">
        <v>19</v>
      </c>
      <c r="P16" s="11"/>
      <c r="Q16" s="11"/>
      <c r="R16" s="11"/>
      <c r="S16" s="11"/>
      <c r="T16" s="11"/>
      <c r="U16" s="11"/>
    </row>
    <row r="17" ht="15.75" customHeight="1">
      <c r="A17" s="11"/>
      <c r="B17" s="482" t="s">
        <v>20</v>
      </c>
      <c r="C17" s="177"/>
      <c r="D17" s="177"/>
      <c r="E17" s="177"/>
      <c r="F17" s="481" t="n">
        <f>E14*F14+E15*F15+E16*F16</f>
        <v>325.32211609457966</v>
      </c>
      <c r="G17" s="486">
        <f t="shared" si="0"/>
        <v>2.0298309846572549E-2</v>
      </c>
      <c r="H17" s="11"/>
      <c r="I17" s="11"/>
      <c r="J17" s="11"/>
      <c r="K17" s="11"/>
      <c r="L17" s="11"/>
      <c r="M17" s="11"/>
      <c r="N17" s="477" t="s">
        <v>21</v>
      </c>
      <c r="O17" s="477"/>
      <c r="P17" s="11"/>
      <c r="Q17" s="11"/>
      <c r="R17" s="11"/>
      <c r="S17" s="11"/>
      <c r="T17" s="11"/>
      <c r="U17" s="11"/>
    </row>
    <row r="18" ht="15.75" customHeight="1">
      <c r="A18" s="11"/>
      <c r="B18" s="11"/>
      <c r="C18" s="11"/>
      <c r="D18" s="11"/>
      <c r="E18" s="11"/>
      <c r="F18" s="11"/>
      <c r="G18" s="11"/>
      <c r="H18" s="11"/>
      <c r="I18" s="11"/>
      <c r="J18" s="11"/>
      <c r="K18" s="11"/>
      <c r="L18" s="11"/>
      <c r="M18" s="11"/>
      <c r="N18" s="11"/>
      <c r="O18" s="11"/>
      <c r="P18" s="11"/>
      <c r="Q18" s="11"/>
      <c r="R18" s="11"/>
      <c r="S18" s="11"/>
      <c r="T18" s="11"/>
      <c r="U18" s="11"/>
    </row>
    <row r="19" ht="15.75" customHeight="1">
      <c r="A19" s="11"/>
      <c r="B19" s="12"/>
      <c r="C19" s="11"/>
      <c r="D19" s="11"/>
      <c r="E19" s="11"/>
      <c r="F19" s="11"/>
      <c r="G19" s="11"/>
      <c r="H19" s="11"/>
      <c r="I19" s="11"/>
      <c r="J19" s="11"/>
      <c r="K19" s="11"/>
      <c r="L19" s="11"/>
      <c r="M19" s="11"/>
      <c r="N19" s="11"/>
      <c r="O19" s="11"/>
      <c r="P19" s="11"/>
      <c r="Q19" s="11"/>
      <c r="R19" s="11"/>
      <c r="S19" s="11"/>
      <c r="T19" s="11"/>
      <c r="U19" s="11"/>
    </row>
    <row r="20" ht="15.75" customHeight="1">
      <c r="A20" s="11"/>
      <c r="B20" s="11"/>
      <c r="C20" s="11"/>
      <c r="D20" s="11"/>
      <c r="E20" s="11"/>
      <c r="F20" s="11"/>
      <c r="G20" s="11"/>
      <c r="H20" s="11"/>
      <c r="I20" s="11"/>
      <c r="J20" s="11"/>
      <c r="K20" s="11"/>
      <c r="L20" s="11"/>
      <c r="M20" s="11"/>
      <c r="N20" s="11"/>
      <c r="O20" s="11"/>
      <c r="P20" s="11"/>
      <c r="Q20" s="11"/>
      <c r="R20" s="11"/>
      <c r="S20" s="11"/>
      <c r="T20" s="11"/>
      <c r="U20" s="11"/>
    </row>
    <row r="21" ht="15.75" customHeight="1">
      <c r="A21" s="11"/>
      <c r="B21" s="11"/>
      <c r="C21" s="11"/>
      <c r="D21" s="11"/>
      <c r="E21" s="11"/>
      <c r="F21" s="11"/>
      <c r="G21" s="11"/>
      <c r="H21" s="11"/>
      <c r="I21" s="11"/>
      <c r="J21" s="11"/>
      <c r="K21" s="11"/>
      <c r="L21" s="11"/>
      <c r="M21" s="11"/>
      <c r="N21" s="11"/>
      <c r="O21" s="11"/>
      <c r="P21" s="11"/>
      <c r="Q21" s="11"/>
      <c r="R21" s="11"/>
      <c r="S21" s="11"/>
      <c r="T21" s="11"/>
      <c r="U21" s="11"/>
    </row>
    <row r="22" ht="15.75" customHeight="1">
      <c r="A22" s="11"/>
      <c r="B22" s="11"/>
      <c r="C22" s="11"/>
      <c r="D22" s="11"/>
      <c r="E22" s="11"/>
      <c r="F22" s="11"/>
      <c r="G22" s="11"/>
      <c r="H22" s="11"/>
      <c r="I22" s="11"/>
      <c r="J22" s="11"/>
      <c r="K22" s="11"/>
      <c r="L22" s="11"/>
      <c r="M22" s="11"/>
      <c r="N22" s="11"/>
      <c r="O22" s="11"/>
      <c r="P22" s="11"/>
      <c r="Q22" s="11"/>
      <c r="R22" s="11"/>
      <c r="S22" s="11"/>
      <c r="T22" s="11"/>
      <c r="U22" s="11"/>
    </row>
    <row r="23" ht="15.75" customHeight="1">
      <c r="A23" s="11"/>
      <c r="B23" s="11"/>
      <c r="C23" s="11"/>
      <c r="D23" s="11"/>
      <c r="E23" s="11"/>
      <c r="F23" s="11"/>
      <c r="G23" s="11"/>
      <c r="H23" s="11"/>
      <c r="I23" s="11"/>
      <c r="J23" s="11"/>
      <c r="K23" s="11"/>
      <c r="L23" s="11"/>
      <c r="M23" s="11"/>
      <c r="N23" s="11"/>
      <c r="O23" s="11"/>
      <c r="P23" s="11"/>
      <c r="Q23" s="11"/>
      <c r="R23" s="11"/>
      <c r="S23" s="11"/>
      <c r="T23" s="11"/>
      <c r="U23" s="11"/>
    </row>
    <row r="24" ht="15.75" customHeight="1">
      <c r="A24" s="11"/>
      <c r="B24" s="11"/>
      <c r="C24" s="11"/>
      <c r="D24" s="11"/>
      <c r="E24" s="11"/>
      <c r="F24" s="11"/>
      <c r="G24" s="11"/>
      <c r="H24" s="11"/>
      <c r="I24" s="11"/>
      <c r="J24" s="11"/>
      <c r="K24" s="11"/>
      <c r="L24" s="11"/>
      <c r="M24" s="11"/>
      <c r="N24" s="11"/>
      <c r="O24" s="11"/>
      <c r="P24" s="11"/>
      <c r="Q24" s="11"/>
      <c r="R24" s="11"/>
      <c r="S24" s="11"/>
      <c r="T24" s="11"/>
      <c r="U24" s="11"/>
    </row>
    <row r="25" ht="15.75" customHeight="1">
      <c r="A25" s="11"/>
      <c r="B25" s="11"/>
      <c r="C25" s="11"/>
      <c r="D25" s="11"/>
      <c r="E25" s="11"/>
      <c r="F25" s="11"/>
      <c r="G25" s="11"/>
      <c r="H25" s="11"/>
      <c r="I25" s="11"/>
      <c r="J25" s="11"/>
      <c r="K25" s="11"/>
      <c r="L25" s="11"/>
      <c r="M25" s="11"/>
      <c r="N25" s="11"/>
      <c r="O25" s="11"/>
      <c r="P25" s="11"/>
      <c r="Q25" s="11"/>
      <c r="R25" s="11"/>
      <c r="S25" s="11"/>
      <c r="T25" s="11"/>
      <c r="U25" s="11"/>
    </row>
    <row r="26" ht="15.75" customHeight="1">
      <c r="A26" s="11"/>
      <c r="B26" s="11"/>
      <c r="C26" s="11"/>
      <c r="D26" s="11"/>
      <c r="E26" s="11"/>
      <c r="F26" s="11"/>
      <c r="G26" s="11"/>
      <c r="H26" s="11"/>
      <c r="I26" s="11"/>
      <c r="J26" s="11"/>
      <c r="K26" s="11"/>
      <c r="L26" s="11"/>
      <c r="M26" s="11"/>
      <c r="N26" s="11"/>
      <c r="O26" s="11"/>
      <c r="P26" s="11"/>
      <c r="Q26" s="11"/>
      <c r="R26" s="11"/>
      <c r="S26" s="11"/>
      <c r="T26" s="11"/>
      <c r="U26" s="11"/>
    </row>
    <row r="27" ht="15.75" customHeight="1">
      <c r="A27" s="11"/>
      <c r="B27" s="11"/>
      <c r="C27" s="11"/>
      <c r="D27" s="11"/>
      <c r="E27" s="11"/>
      <c r="F27" s="11"/>
      <c r="G27" s="11"/>
      <c r="H27" s="11"/>
      <c r="I27" s="11"/>
      <c r="J27" s="11"/>
      <c r="K27" s="11"/>
      <c r="L27" s="11"/>
      <c r="M27" s="11"/>
      <c r="N27" s="11"/>
      <c r="O27" s="11"/>
      <c r="P27" s="11"/>
      <c r="Q27" s="11"/>
      <c r="R27" s="11"/>
      <c r="S27" s="11"/>
      <c r="T27" s="11"/>
      <c r="U27" s="11"/>
    </row>
    <row r="28" ht="15.75" customHeight="1">
      <c r="A28" s="11"/>
      <c r="B28" s="11"/>
      <c r="C28" s="11"/>
      <c r="D28" s="11"/>
      <c r="E28" s="11"/>
      <c r="F28" s="11"/>
      <c r="G28" s="11"/>
      <c r="H28" s="11"/>
      <c r="I28" s="11"/>
      <c r="J28" s="11"/>
      <c r="K28" s="11"/>
      <c r="L28" s="11"/>
      <c r="M28" s="11"/>
      <c r="N28" s="11"/>
      <c r="O28" s="11"/>
      <c r="P28" s="11"/>
      <c r="Q28" s="11"/>
      <c r="R28" s="11"/>
      <c r="S28" s="11"/>
      <c r="T28" s="11"/>
      <c r="U28" s="11"/>
    </row>
    <row r="29" ht="15.75" customHeight="1">
      <c r="A29" s="11"/>
      <c r="B29" s="11"/>
      <c r="C29" s="11"/>
      <c r="D29" s="11"/>
      <c r="E29" s="11"/>
      <c r="F29" s="11"/>
      <c r="G29" s="11"/>
      <c r="H29" s="11"/>
      <c r="I29" s="11"/>
      <c r="J29" s="11"/>
      <c r="K29" s="11"/>
      <c r="L29" s="11"/>
      <c r="M29" s="11"/>
      <c r="N29" s="11"/>
      <c r="O29" s="11"/>
      <c r="P29" s="11"/>
      <c r="Q29" s="11"/>
      <c r="R29" s="11"/>
      <c r="S29" s="11"/>
      <c r="T29" s="11"/>
      <c r="U29" s="11"/>
    </row>
    <row r="30" ht="15.75" customHeight="1">
      <c r="A30" s="11"/>
      <c r="B30" s="11"/>
      <c r="C30" s="11"/>
      <c r="D30" s="11"/>
      <c r="E30" s="11"/>
      <c r="F30" s="11"/>
      <c r="G30" s="11"/>
      <c r="H30" s="11"/>
      <c r="I30" s="11"/>
      <c r="J30" s="11"/>
      <c r="K30" s="11"/>
      <c r="L30" s="11"/>
      <c r="M30" s="11"/>
      <c r="N30" s="11"/>
      <c r="O30" s="11"/>
      <c r="P30" s="11"/>
      <c r="Q30" s="11"/>
      <c r="R30" s="11"/>
      <c r="S30" s="11"/>
      <c r="T30" s="11"/>
      <c r="U30" s="11"/>
    </row>
    <row r="31" ht="15.75" customHeight="1">
      <c r="A31" s="11"/>
      <c r="B31" s="11"/>
      <c r="C31" s="11"/>
      <c r="D31" s="11"/>
      <c r="E31" s="11"/>
      <c r="F31" s="11"/>
      <c r="G31" s="11"/>
      <c r="H31" s="11"/>
      <c r="I31" s="11"/>
      <c r="J31" s="11"/>
      <c r="K31" s="11"/>
      <c r="L31" s="11"/>
      <c r="M31" s="11"/>
      <c r="N31" s="11"/>
      <c r="O31" s="11"/>
      <c r="P31" s="11"/>
      <c r="Q31" s="11"/>
      <c r="R31" s="11"/>
      <c r="S31" s="11"/>
      <c r="T31" s="11"/>
      <c r="U31" s="11"/>
    </row>
    <row r="32" ht="15.75" customHeight="1">
      <c r="A32" s="11"/>
      <c r="B32" s="11"/>
      <c r="C32" s="11"/>
      <c r="D32" s="11"/>
      <c r="E32" s="11"/>
      <c r="F32" s="11"/>
      <c r="G32" s="11"/>
      <c r="H32" s="11"/>
      <c r="I32" s="11"/>
      <c r="J32" s="11"/>
      <c r="K32" s="11"/>
      <c r="L32" s="11"/>
      <c r="M32" s="11"/>
      <c r="N32" s="11"/>
      <c r="O32" s="11"/>
      <c r="P32" s="11"/>
      <c r="Q32" s="11"/>
      <c r="R32" s="11"/>
      <c r="S32" s="11"/>
      <c r="T32" s="11"/>
      <c r="U32" s="11"/>
    </row>
    <row r="33" ht="15.75" customHeight="1">
      <c r="A33" s="11"/>
      <c r="B33" s="11"/>
      <c r="C33" s="11"/>
      <c r="D33" s="11"/>
      <c r="E33" s="11"/>
      <c r="F33" s="11"/>
      <c r="G33" s="11"/>
      <c r="H33" s="11"/>
      <c r="I33" s="11"/>
      <c r="J33" s="11"/>
      <c r="K33" s="11"/>
      <c r="L33" s="11"/>
      <c r="M33" s="11"/>
      <c r="N33" s="11"/>
      <c r="O33" s="11"/>
      <c r="P33" s="11"/>
      <c r="Q33" s="11"/>
      <c r="R33" s="11"/>
      <c r="S33" s="11"/>
      <c r="T33" s="11"/>
      <c r="U33" s="11"/>
    </row>
    <row r="34" ht="15.75" customHeight="1">
      <c r="A34" s="11"/>
      <c r="B34" s="11"/>
      <c r="C34" s="11"/>
      <c r="D34" s="11"/>
      <c r="E34" s="11"/>
      <c r="F34" s="11"/>
      <c r="G34" s="11"/>
      <c r="H34" s="11"/>
      <c r="I34" s="11"/>
      <c r="J34" s="11"/>
      <c r="K34" s="11"/>
      <c r="L34" s="11"/>
      <c r="M34" s="11"/>
      <c r="N34" s="11"/>
      <c r="O34" s="11"/>
      <c r="P34" s="11"/>
      <c r="Q34" s="11"/>
      <c r="R34" s="11"/>
      <c r="S34" s="11"/>
      <c r="T34" s="11"/>
      <c r="U34" s="11"/>
    </row>
    <row r="35" ht="15.75" customHeight="1">
      <c r="A35" s="11"/>
      <c r="B35" s="11"/>
      <c r="C35" s="11"/>
      <c r="D35" s="11"/>
      <c r="E35" s="11"/>
      <c r="F35" s="11"/>
      <c r="G35" s="11"/>
      <c r="H35" s="11"/>
      <c r="I35" s="11"/>
      <c r="J35" s="11"/>
      <c r="K35" s="11"/>
      <c r="L35" s="11"/>
      <c r="M35" s="11"/>
      <c r="N35" s="11"/>
      <c r="O35" s="11"/>
      <c r="P35" s="11"/>
      <c r="Q35" s="11"/>
      <c r="R35" s="11"/>
      <c r="S35" s="11"/>
      <c r="T35" s="11"/>
      <c r="U35" s="11"/>
    </row>
    <row r="36" ht="15.75" customHeight="1">
      <c r="A36" s="11"/>
      <c r="B36" s="11"/>
      <c r="C36" s="11"/>
      <c r="D36" s="11"/>
      <c r="E36" s="11"/>
      <c r="F36" s="11"/>
      <c r="G36" s="11"/>
      <c r="H36" s="11"/>
      <c r="I36" s="11"/>
      <c r="J36" s="11"/>
      <c r="K36" s="11"/>
      <c r="L36" s="11"/>
      <c r="M36" s="11"/>
      <c r="N36" s="11"/>
      <c r="O36" s="11"/>
      <c r="P36" s="11"/>
      <c r="Q36" s="11"/>
      <c r="R36" s="11"/>
      <c r="S36" s="11"/>
      <c r="T36" s="11"/>
      <c r="U36" s="11"/>
    </row>
    <row r="37" ht="15.75" customHeight="1">
      <c r="A37" s="11"/>
      <c r="B37" s="11"/>
      <c r="C37" s="11"/>
      <c r="D37" s="11"/>
      <c r="E37" s="11"/>
      <c r="F37" s="11"/>
      <c r="G37" s="11"/>
      <c r="H37" s="11"/>
      <c r="I37" s="11"/>
      <c r="J37" s="11"/>
      <c r="K37" s="11"/>
      <c r="L37" s="11"/>
      <c r="M37" s="11"/>
      <c r="N37" s="11"/>
      <c r="O37" s="11"/>
      <c r="P37" s="11"/>
      <c r="Q37" s="11"/>
      <c r="R37" s="11"/>
      <c r="S37" s="11"/>
      <c r="T37" s="11"/>
      <c r="U37" s="11"/>
    </row>
    <row r="38" ht="15.75" customHeight="1">
      <c r="A38" s="11"/>
      <c r="B38" s="11"/>
      <c r="C38" s="11"/>
      <c r="D38" s="11"/>
      <c r="E38" s="11"/>
      <c r="F38" s="11"/>
      <c r="G38" s="11"/>
      <c r="H38" s="11"/>
      <c r="I38" s="11"/>
      <c r="J38" s="11"/>
      <c r="K38" s="11"/>
      <c r="L38" s="11"/>
      <c r="M38" s="11"/>
      <c r="N38" s="11"/>
      <c r="O38" s="11"/>
      <c r="P38" s="11"/>
      <c r="Q38" s="11"/>
      <c r="R38" s="11"/>
      <c r="S38" s="11"/>
      <c r="T38" s="11"/>
      <c r="U38" s="11"/>
    </row>
    <row r="39" ht="15.75" customHeight="1">
      <c r="A39" s="11"/>
      <c r="B39" s="11"/>
      <c r="C39" s="11"/>
      <c r="D39" s="11"/>
      <c r="E39" s="11"/>
      <c r="F39" s="11"/>
      <c r="G39" s="11"/>
      <c r="H39" s="11"/>
      <c r="I39" s="11"/>
      <c r="J39" s="11"/>
      <c r="K39" s="11"/>
      <c r="L39" s="11"/>
      <c r="M39" s="11"/>
      <c r="N39" s="11"/>
      <c r="O39" s="11"/>
      <c r="P39" s="11"/>
      <c r="Q39" s="11"/>
      <c r="R39" s="11"/>
      <c r="S39" s="11"/>
      <c r="T39" s="11"/>
      <c r="U39" s="11"/>
    </row>
    <row r="40" ht="15.75" customHeight="1">
      <c r="A40" s="11"/>
      <c r="B40" s="11"/>
      <c r="C40" s="11"/>
      <c r="D40" s="11"/>
      <c r="E40" s="11"/>
      <c r="F40" s="11"/>
      <c r="G40" s="11"/>
      <c r="H40" s="11"/>
      <c r="I40" s="11"/>
      <c r="J40" s="11"/>
      <c r="K40" s="11"/>
      <c r="L40" s="11"/>
      <c r="M40" s="11"/>
      <c r="N40" s="11"/>
      <c r="O40" s="11"/>
      <c r="P40" s="11"/>
      <c r="Q40" s="11"/>
      <c r="R40" s="11"/>
      <c r="S40" s="11"/>
      <c r="T40" s="11"/>
      <c r="U40" s="11"/>
    </row>
    <row r="41" ht="15.75" customHeight="1">
      <c r="A41" s="11"/>
      <c r="B41" s="11"/>
      <c r="C41" s="11"/>
      <c r="D41" s="11"/>
      <c r="E41" s="11"/>
      <c r="F41" s="11"/>
      <c r="G41" s="11"/>
      <c r="H41" s="11"/>
      <c r="I41" s="11"/>
      <c r="J41" s="11"/>
      <c r="K41" s="11"/>
      <c r="L41" s="11"/>
      <c r="M41" s="11"/>
      <c r="N41" s="11"/>
      <c r="O41" s="11"/>
      <c r="P41" s="11"/>
      <c r="Q41" s="11"/>
      <c r="R41" s="11"/>
      <c r="S41" s="11"/>
      <c r="T41" s="11"/>
      <c r="U41" s="11"/>
    </row>
    <row r="42" ht="15.75" customHeight="1">
      <c r="A42" s="11"/>
      <c r="B42" s="11"/>
      <c r="C42" s="11"/>
      <c r="D42" s="11"/>
      <c r="E42" s="11"/>
      <c r="F42" s="11"/>
      <c r="G42" s="11"/>
      <c r="H42" s="11"/>
      <c r="I42" s="11"/>
      <c r="J42" s="11"/>
      <c r="K42" s="11"/>
      <c r="L42" s="11"/>
      <c r="M42" s="11"/>
      <c r="N42" s="11"/>
      <c r="O42" s="11"/>
      <c r="P42" s="11"/>
      <c r="Q42" s="11"/>
      <c r="R42" s="11"/>
      <c r="S42" s="11"/>
      <c r="T42" s="11"/>
      <c r="U42" s="11"/>
    </row>
    <row r="43" ht="15.75" customHeight="1">
      <c r="A43" s="11"/>
      <c r="B43" s="11"/>
      <c r="C43" s="11"/>
      <c r="D43" s="11"/>
      <c r="E43" s="11"/>
      <c r="F43" s="11"/>
      <c r="G43" s="11"/>
      <c r="H43" s="11"/>
      <c r="I43" s="11"/>
      <c r="J43" s="11"/>
      <c r="K43" s="11"/>
      <c r="L43" s="11"/>
      <c r="M43" s="11"/>
      <c r="N43" s="11"/>
      <c r="O43" s="11"/>
      <c r="P43" s="11"/>
      <c r="Q43" s="11"/>
      <c r="R43" s="11"/>
      <c r="S43" s="11"/>
      <c r="T43" s="11"/>
      <c r="U43" s="11"/>
    </row>
    <row r="44" ht="15.75" customHeight="1">
      <c r="A44" s="11"/>
      <c r="B44" s="11"/>
      <c r="C44" s="11"/>
      <c r="D44" s="11"/>
      <c r="E44" s="11"/>
      <c r="F44" s="11"/>
      <c r="G44" s="11"/>
      <c r="H44" s="11"/>
      <c r="I44" s="11"/>
      <c r="J44" s="11"/>
      <c r="K44" s="11"/>
      <c r="L44" s="11"/>
      <c r="M44" s="11"/>
      <c r="N44" s="11"/>
      <c r="O44" s="11"/>
      <c r="P44" s="11"/>
      <c r="Q44" s="11"/>
      <c r="R44" s="11"/>
      <c r="S44" s="11"/>
      <c r="T44" s="11"/>
      <c r="U44" s="11"/>
    </row>
    <row r="45" ht="15.75" customHeight="1">
      <c r="A45" s="11"/>
      <c r="B45" s="11"/>
      <c r="C45" s="11"/>
      <c r="D45" s="11"/>
      <c r="E45" s="11"/>
      <c r="F45" s="11"/>
      <c r="G45" s="11"/>
      <c r="H45" s="11"/>
      <c r="I45" s="11"/>
      <c r="J45" s="11"/>
      <c r="K45" s="11"/>
      <c r="L45" s="11"/>
      <c r="M45" s="11"/>
      <c r="N45" s="11"/>
      <c r="O45" s="11"/>
      <c r="P45" s="11"/>
      <c r="Q45" s="11"/>
      <c r="R45" s="11"/>
      <c r="S45" s="11"/>
      <c r="T45" s="11"/>
      <c r="U45" s="11"/>
    </row>
    <row r="46" ht="15.75" customHeight="1">
      <c r="A46" s="11"/>
      <c r="B46" s="11"/>
      <c r="C46" s="11"/>
      <c r="D46" s="11"/>
      <c r="E46" s="11"/>
      <c r="F46" s="11"/>
      <c r="G46" s="11"/>
      <c r="H46" s="11"/>
      <c r="I46" s="11"/>
      <c r="J46" s="11"/>
      <c r="K46" s="11"/>
      <c r="L46" s="11"/>
      <c r="M46" s="11"/>
      <c r="N46" s="11"/>
      <c r="O46" s="11"/>
      <c r="P46" s="11"/>
      <c r="Q46" s="11"/>
      <c r="R46" s="11"/>
      <c r="S46" s="11"/>
      <c r="T46" s="11"/>
      <c r="U46" s="11"/>
    </row>
    <row r="47" ht="15.75" customHeight="1">
      <c r="A47" s="11"/>
      <c r="B47" s="11"/>
      <c r="C47" s="11"/>
      <c r="D47" s="11"/>
      <c r="E47" s="11"/>
      <c r="F47" s="11"/>
      <c r="G47" s="11"/>
      <c r="H47" s="11"/>
      <c r="I47" s="11"/>
      <c r="J47" s="11"/>
      <c r="K47" s="11"/>
      <c r="L47" s="11"/>
      <c r="M47" s="11"/>
      <c r="N47" s="11"/>
      <c r="O47" s="11"/>
      <c r="P47" s="11"/>
      <c r="Q47" s="11"/>
      <c r="R47" s="11"/>
      <c r="S47" s="11"/>
      <c r="T47" s="11"/>
      <c r="U47" s="11"/>
    </row>
    <row r="48" ht="15.75" customHeight="1">
      <c r="A48" s="11"/>
      <c r="B48" s="11"/>
      <c r="C48" s="11"/>
      <c r="D48" s="11"/>
      <c r="E48" s="11"/>
      <c r="F48" s="11"/>
      <c r="G48" s="11"/>
      <c r="H48" s="11"/>
      <c r="I48" s="11"/>
      <c r="J48" s="11"/>
      <c r="K48" s="11"/>
      <c r="L48" s="11"/>
      <c r="M48" s="11"/>
      <c r="N48" s="11"/>
      <c r="O48" s="11"/>
      <c r="P48" s="11"/>
      <c r="Q48" s="11"/>
      <c r="R48" s="11"/>
      <c r="S48" s="11"/>
      <c r="T48" s="11"/>
      <c r="U48" s="11"/>
    </row>
    <row r="49" ht="15.75" customHeight="1">
      <c r="A49" s="11"/>
      <c r="B49" s="11"/>
      <c r="C49" s="11"/>
      <c r="D49" s="11"/>
      <c r="E49" s="11"/>
      <c r="F49" s="11"/>
      <c r="G49" s="11"/>
      <c r="H49" s="11"/>
      <c r="I49" s="11"/>
      <c r="J49" s="11"/>
      <c r="K49" s="11"/>
      <c r="L49" s="11"/>
      <c r="M49" s="11"/>
      <c r="N49" s="11"/>
      <c r="O49" s="11"/>
      <c r="P49" s="11"/>
      <c r="Q49" s="11"/>
      <c r="R49" s="11"/>
      <c r="S49" s="11"/>
      <c r="T49" s="11"/>
      <c r="U49" s="11"/>
    </row>
    <row r="50" ht="15.75" customHeight="1">
      <c r="A50" s="11"/>
      <c r="B50" s="11"/>
      <c r="C50" s="11"/>
      <c r="D50" s="11"/>
      <c r="E50" s="11"/>
      <c r="F50" s="11"/>
      <c r="G50" s="11"/>
      <c r="H50" s="11"/>
      <c r="I50" s="11"/>
      <c r="J50" s="11"/>
      <c r="K50" s="11"/>
      <c r="L50" s="11"/>
      <c r="M50" s="11"/>
      <c r="N50" s="11"/>
      <c r="O50" s="11"/>
      <c r="P50" s="11"/>
      <c r="Q50" s="11"/>
      <c r="R50" s="11"/>
      <c r="S50" s="11"/>
      <c r="T50" s="11"/>
      <c r="U50" s="11"/>
    </row>
    <row r="51" ht="15.75" customHeight="1">
      <c r="A51" s="11"/>
      <c r="B51" s="11"/>
      <c r="C51" s="11"/>
      <c r="D51" s="11"/>
      <c r="E51" s="11"/>
      <c r="F51" s="11"/>
      <c r="G51" s="11"/>
      <c r="H51" s="11"/>
      <c r="I51" s="11"/>
      <c r="J51" s="11"/>
      <c r="K51" s="11"/>
      <c r="L51" s="11"/>
      <c r="M51" s="11"/>
      <c r="N51" s="11"/>
      <c r="O51" s="11"/>
      <c r="P51" s="11"/>
      <c r="Q51" s="11"/>
      <c r="R51" s="11"/>
      <c r="S51" s="11"/>
      <c r="T51" s="11"/>
      <c r="U51" s="11"/>
    </row>
    <row r="52" ht="15.75" customHeight="1">
      <c r="A52" s="11"/>
      <c r="B52" s="11"/>
      <c r="C52" s="11"/>
      <c r="D52" s="11"/>
      <c r="E52" s="11"/>
      <c r="F52" s="11"/>
      <c r="G52" s="11"/>
      <c r="H52" s="11"/>
      <c r="I52" s="11"/>
      <c r="J52" s="11"/>
      <c r="K52" s="11"/>
      <c r="L52" s="11"/>
      <c r="M52" s="11"/>
      <c r="N52" s="11"/>
      <c r="O52" s="11"/>
      <c r="P52" s="11"/>
      <c r="Q52" s="11"/>
      <c r="R52" s="11"/>
      <c r="S52" s="11"/>
      <c r="T52" s="11"/>
      <c r="U52" s="11"/>
    </row>
    <row r="53" ht="15.75" customHeight="1">
      <c r="A53" s="11"/>
      <c r="B53" s="11"/>
      <c r="C53" s="11"/>
      <c r="D53" s="11"/>
      <c r="E53" s="11"/>
      <c r="F53" s="11"/>
      <c r="G53" s="11"/>
      <c r="H53" s="11"/>
      <c r="I53" s="11"/>
      <c r="J53" s="11"/>
      <c r="K53" s="11"/>
      <c r="L53" s="11"/>
      <c r="M53" s="11"/>
      <c r="N53" s="11"/>
      <c r="O53" s="11"/>
      <c r="P53" s="11"/>
      <c r="Q53" s="11"/>
      <c r="R53" s="11"/>
      <c r="S53" s="11"/>
      <c r="T53" s="11"/>
      <c r="U53" s="11"/>
    </row>
    <row r="54" ht="15.75" customHeight="1">
      <c r="A54" s="11"/>
      <c r="B54" s="11"/>
      <c r="C54" s="11"/>
      <c r="D54" s="11"/>
      <c r="E54" s="11"/>
      <c r="F54" s="11"/>
      <c r="G54" s="11"/>
      <c r="H54" s="11"/>
      <c r="I54" s="11"/>
      <c r="J54" s="11"/>
      <c r="K54" s="11"/>
      <c r="L54" s="11"/>
      <c r="M54" s="11"/>
      <c r="N54" s="11"/>
      <c r="O54" s="11"/>
      <c r="P54" s="11"/>
      <c r="Q54" s="11"/>
      <c r="R54" s="11"/>
      <c r="S54" s="11"/>
      <c r="T54" s="11"/>
      <c r="U54" s="11"/>
    </row>
    <row r="55" ht="15.75" customHeight="1">
      <c r="A55" s="11"/>
      <c r="B55" s="11"/>
      <c r="C55" s="11"/>
      <c r="D55" s="11"/>
      <c r="E55" s="11"/>
      <c r="F55" s="11"/>
      <c r="G55" s="11"/>
      <c r="H55" s="11"/>
      <c r="I55" s="11"/>
      <c r="J55" s="11"/>
      <c r="K55" s="11"/>
      <c r="L55" s="11"/>
      <c r="M55" s="11"/>
      <c r="N55" s="11"/>
      <c r="O55" s="11"/>
      <c r="P55" s="11"/>
      <c r="Q55" s="11"/>
      <c r="R55" s="11"/>
      <c r="S55" s="11"/>
      <c r="T55" s="11"/>
      <c r="U55" s="11"/>
    </row>
    <row r="56" ht="15.75" customHeight="1">
      <c r="A56" s="11"/>
      <c r="B56" s="11"/>
      <c r="C56" s="11"/>
      <c r="D56" s="11"/>
      <c r="E56" s="11"/>
      <c r="F56" s="11"/>
      <c r="G56" s="11"/>
      <c r="H56" s="11"/>
      <c r="I56" s="11"/>
      <c r="J56" s="11"/>
      <c r="K56" s="11"/>
      <c r="L56" s="11"/>
      <c r="M56" s="11"/>
      <c r="N56" s="11"/>
      <c r="O56" s="11"/>
      <c r="P56" s="11"/>
      <c r="Q56" s="11"/>
      <c r="R56" s="11"/>
      <c r="S56" s="11"/>
      <c r="T56" s="11"/>
      <c r="U56" s="11"/>
    </row>
    <row r="57" ht="15.75" customHeight="1">
      <c r="A57" s="11"/>
      <c r="B57" s="11"/>
      <c r="C57" s="11"/>
      <c r="D57" s="11"/>
      <c r="E57" s="11"/>
      <c r="F57" s="11"/>
      <c r="G57" s="11"/>
      <c r="H57" s="11"/>
      <c r="I57" s="11"/>
      <c r="J57" s="11"/>
      <c r="K57" s="11"/>
      <c r="L57" s="11"/>
      <c r="M57" s="11"/>
      <c r="N57" s="11"/>
      <c r="O57" s="11"/>
      <c r="P57" s="11"/>
      <c r="Q57" s="11"/>
      <c r="R57" s="11"/>
      <c r="S57" s="11"/>
      <c r="T57" s="11"/>
      <c r="U57" s="11"/>
    </row>
    <row r="58" ht="15.75" customHeight="1">
      <c r="A58" s="11"/>
      <c r="B58" s="11"/>
      <c r="C58" s="11"/>
      <c r="D58" s="11"/>
      <c r="E58" s="11"/>
      <c r="F58" s="11"/>
      <c r="G58" s="11"/>
      <c r="H58" s="11"/>
      <c r="I58" s="11"/>
      <c r="J58" s="11"/>
      <c r="K58" s="11"/>
      <c r="L58" s="11"/>
      <c r="M58" s="11"/>
      <c r="N58" s="11"/>
      <c r="O58" s="11"/>
      <c r="P58" s="11"/>
      <c r="Q58" s="11"/>
      <c r="R58" s="11"/>
      <c r="S58" s="11"/>
      <c r="T58" s="11"/>
      <c r="U58" s="11"/>
    </row>
    <row r="59" ht="15.75" customHeight="1">
      <c r="A59" s="11"/>
      <c r="B59" s="11"/>
      <c r="C59" s="11"/>
      <c r="D59" s="11"/>
      <c r="E59" s="11"/>
      <c r="F59" s="11"/>
      <c r="G59" s="11"/>
      <c r="H59" s="11"/>
      <c r="I59" s="11"/>
      <c r="J59" s="11"/>
      <c r="K59" s="11"/>
      <c r="L59" s="11"/>
      <c r="M59" s="11"/>
      <c r="N59" s="11"/>
      <c r="O59" s="11"/>
      <c r="P59" s="11"/>
      <c r="Q59" s="11"/>
      <c r="R59" s="11"/>
      <c r="S59" s="11"/>
      <c r="T59" s="11"/>
      <c r="U59" s="11"/>
    </row>
    <row r="60" ht="15.75" customHeight="1">
      <c r="A60" s="11"/>
      <c r="B60" s="11"/>
      <c r="C60" s="11"/>
      <c r="D60" s="11"/>
      <c r="E60" s="11"/>
      <c r="F60" s="11"/>
      <c r="G60" s="11"/>
      <c r="H60" s="11"/>
      <c r="I60" s="11"/>
      <c r="J60" s="11"/>
      <c r="K60" s="11"/>
      <c r="L60" s="11"/>
      <c r="M60" s="11"/>
      <c r="N60" s="11"/>
      <c r="O60" s="11"/>
      <c r="P60" s="11"/>
      <c r="Q60" s="11"/>
      <c r="R60" s="11"/>
      <c r="S60" s="11"/>
      <c r="T60" s="11"/>
      <c r="U60" s="11"/>
    </row>
    <row r="61" ht="15.75" customHeight="1">
      <c r="A61" s="11"/>
      <c r="B61" s="11"/>
      <c r="C61" s="11"/>
      <c r="D61" s="11"/>
      <c r="E61" s="11"/>
      <c r="F61" s="11"/>
      <c r="G61" s="11"/>
      <c r="H61" s="11"/>
      <c r="I61" s="11"/>
      <c r="J61" s="11"/>
      <c r="K61" s="11"/>
      <c r="L61" s="11"/>
      <c r="M61" s="11"/>
      <c r="N61" s="11"/>
      <c r="O61" s="11"/>
      <c r="P61" s="11"/>
      <c r="Q61" s="11"/>
      <c r="R61" s="11"/>
      <c r="S61" s="11"/>
      <c r="T61" s="11"/>
      <c r="U61" s="11"/>
    </row>
    <row r="62" ht="15.75" customHeight="1">
      <c r="A62" s="11"/>
      <c r="B62" s="11"/>
      <c r="C62" s="11"/>
      <c r="D62" s="11"/>
      <c r="E62" s="11"/>
      <c r="F62" s="11"/>
      <c r="G62" s="11"/>
      <c r="H62" s="11"/>
      <c r="I62" s="11"/>
      <c r="J62" s="11"/>
      <c r="K62" s="11"/>
      <c r="L62" s="11"/>
      <c r="M62" s="11"/>
      <c r="N62" s="11"/>
      <c r="O62" s="11"/>
      <c r="P62" s="11"/>
      <c r="Q62" s="11"/>
      <c r="R62" s="11"/>
      <c r="S62" s="11"/>
      <c r="T62" s="11"/>
      <c r="U62" s="11"/>
    </row>
    <row r="63" ht="15.75" customHeight="1">
      <c r="A63" s="11"/>
      <c r="B63" s="11"/>
      <c r="C63" s="11"/>
      <c r="D63" s="11"/>
      <c r="E63" s="11"/>
      <c r="F63" s="11"/>
      <c r="G63" s="11"/>
      <c r="H63" s="11"/>
      <c r="I63" s="11"/>
      <c r="J63" s="11"/>
      <c r="K63" s="11"/>
      <c r="L63" s="11"/>
      <c r="M63" s="11"/>
      <c r="N63" s="11"/>
      <c r="O63" s="11"/>
      <c r="P63" s="11"/>
      <c r="Q63" s="11"/>
      <c r="R63" s="11"/>
      <c r="S63" s="11"/>
      <c r="T63" s="11"/>
      <c r="U63" s="11"/>
    </row>
    <row r="64" ht="15.75" customHeight="1">
      <c r="A64" s="11"/>
      <c r="B64" s="11"/>
      <c r="C64" s="11"/>
      <c r="D64" s="11"/>
      <c r="E64" s="11"/>
      <c r="F64" s="11"/>
      <c r="G64" s="11"/>
      <c r="H64" s="11"/>
      <c r="I64" s="11"/>
      <c r="J64" s="11"/>
      <c r="K64" s="11"/>
      <c r="L64" s="11"/>
      <c r="M64" s="11"/>
      <c r="N64" s="11"/>
      <c r="O64" s="11"/>
      <c r="P64" s="11"/>
      <c r="Q64" s="11"/>
      <c r="R64" s="11"/>
      <c r="S64" s="11"/>
      <c r="T64" s="11"/>
      <c r="U64" s="11"/>
    </row>
    <row r="65" ht="15.75" customHeight="1">
      <c r="A65" s="11"/>
      <c r="B65" s="11"/>
      <c r="C65" s="11"/>
      <c r="D65" s="11"/>
      <c r="E65" s="11"/>
      <c r="F65" s="11"/>
      <c r="G65" s="11"/>
      <c r="H65" s="11"/>
      <c r="I65" s="11"/>
      <c r="J65" s="11"/>
      <c r="K65" s="11"/>
      <c r="L65" s="11"/>
      <c r="M65" s="11"/>
      <c r="N65" s="11"/>
      <c r="O65" s="11"/>
      <c r="P65" s="11"/>
      <c r="Q65" s="11"/>
      <c r="R65" s="11"/>
      <c r="S65" s="11"/>
      <c r="T65" s="11"/>
      <c r="U65" s="11"/>
    </row>
    <row r="66" ht="15.75" customHeight="1">
      <c r="A66" s="11"/>
      <c r="B66" s="11"/>
      <c r="C66" s="11"/>
      <c r="D66" s="11"/>
      <c r="E66" s="11"/>
      <c r="F66" s="11"/>
      <c r="G66" s="11"/>
      <c r="H66" s="11"/>
      <c r="I66" s="11"/>
      <c r="J66" s="11"/>
      <c r="K66" s="11"/>
      <c r="L66" s="11"/>
      <c r="M66" s="11"/>
      <c r="N66" s="11"/>
      <c r="O66" s="11"/>
      <c r="P66" s="11"/>
      <c r="Q66" s="11"/>
      <c r="R66" s="11"/>
      <c r="S66" s="11"/>
      <c r="T66" s="11"/>
      <c r="U66" s="11"/>
    </row>
    <row r="67" ht="15.75" customHeight="1">
      <c r="A67" s="11"/>
      <c r="B67" s="11"/>
      <c r="C67" s="11"/>
      <c r="D67" s="11"/>
      <c r="E67" s="11"/>
      <c r="F67" s="11"/>
      <c r="G67" s="11"/>
      <c r="H67" s="11"/>
      <c r="I67" s="11"/>
      <c r="J67" s="11"/>
      <c r="K67" s="11"/>
      <c r="L67" s="11"/>
      <c r="M67" s="11"/>
      <c r="N67" s="11"/>
      <c r="O67" s="11"/>
      <c r="P67" s="11"/>
      <c r="Q67" s="11"/>
      <c r="R67" s="11"/>
      <c r="S67" s="11"/>
      <c r="T67" s="11"/>
      <c r="U67" s="11"/>
    </row>
    <row r="68" ht="15.75" customHeight="1">
      <c r="A68" s="11"/>
      <c r="B68" s="11"/>
      <c r="C68" s="11"/>
      <c r="D68" s="11"/>
      <c r="E68" s="11"/>
      <c r="F68" s="11"/>
      <c r="G68" s="11"/>
      <c r="H68" s="11"/>
      <c r="I68" s="11"/>
      <c r="J68" s="11"/>
      <c r="K68" s="11"/>
      <c r="L68" s="11"/>
      <c r="M68" s="11"/>
      <c r="N68" s="11"/>
      <c r="O68" s="11"/>
      <c r="P68" s="11"/>
      <c r="Q68" s="11"/>
      <c r="R68" s="11"/>
      <c r="S68" s="11"/>
      <c r="T68" s="11"/>
      <c r="U68" s="11"/>
    </row>
    <row r="69" ht="15.75" customHeight="1">
      <c r="A69" s="11"/>
      <c r="B69" s="11"/>
      <c r="C69" s="11"/>
      <c r="D69" s="11"/>
      <c r="E69" s="11"/>
      <c r="F69" s="11"/>
      <c r="G69" s="11"/>
      <c r="H69" s="11"/>
      <c r="I69" s="11"/>
      <c r="J69" s="11"/>
      <c r="K69" s="11"/>
      <c r="L69" s="11"/>
      <c r="M69" s="11"/>
      <c r="N69" s="11"/>
      <c r="O69" s="11"/>
      <c r="P69" s="11"/>
      <c r="Q69" s="11"/>
      <c r="R69" s="11"/>
      <c r="S69" s="11"/>
      <c r="T69" s="11"/>
      <c r="U69" s="11"/>
    </row>
    <row r="70" ht="15.75" customHeight="1">
      <c r="A70" s="11"/>
      <c r="B70" s="11"/>
      <c r="C70" s="11"/>
      <c r="D70" s="11"/>
      <c r="E70" s="11"/>
      <c r="F70" s="11"/>
      <c r="G70" s="11"/>
      <c r="H70" s="11"/>
      <c r="I70" s="11"/>
      <c r="J70" s="11"/>
      <c r="K70" s="11"/>
      <c r="L70" s="11"/>
      <c r="M70" s="11"/>
      <c r="N70" s="11"/>
      <c r="O70" s="11"/>
      <c r="P70" s="11"/>
      <c r="Q70" s="11"/>
      <c r="R70" s="11"/>
      <c r="S70" s="11"/>
      <c r="T70" s="11"/>
      <c r="U70" s="11"/>
    </row>
    <row r="71" ht="15.75" customHeight="1">
      <c r="A71" s="11"/>
      <c r="B71" s="11"/>
      <c r="C71" s="11"/>
      <c r="D71" s="11"/>
      <c r="E71" s="11"/>
      <c r="F71" s="11"/>
      <c r="G71" s="11"/>
      <c r="H71" s="11"/>
      <c r="I71" s="11"/>
      <c r="J71" s="11"/>
      <c r="K71" s="11"/>
      <c r="L71" s="11"/>
      <c r="M71" s="11"/>
      <c r="N71" s="11"/>
      <c r="O71" s="11"/>
      <c r="P71" s="11"/>
      <c r="Q71" s="11"/>
      <c r="R71" s="11"/>
      <c r="S71" s="11"/>
      <c r="T71" s="11"/>
      <c r="U71" s="11"/>
    </row>
    <row r="72" ht="15.75" customHeight="1">
      <c r="A72" s="11"/>
      <c r="B72" s="11"/>
      <c r="C72" s="11"/>
      <c r="D72" s="11"/>
      <c r="E72" s="11"/>
      <c r="F72" s="11"/>
      <c r="G72" s="11"/>
      <c r="H72" s="11"/>
      <c r="I72" s="11"/>
      <c r="J72" s="11"/>
      <c r="K72" s="11"/>
      <c r="L72" s="11"/>
      <c r="M72" s="11"/>
      <c r="N72" s="11"/>
      <c r="O72" s="11"/>
      <c r="P72" s="11"/>
      <c r="Q72" s="11"/>
      <c r="R72" s="11"/>
      <c r="S72" s="11"/>
      <c r="T72" s="11"/>
      <c r="U72" s="11"/>
    </row>
    <row r="73" ht="15.75" customHeight="1">
      <c r="A73" s="11"/>
      <c r="B73" s="11"/>
      <c r="C73" s="11"/>
      <c r="D73" s="11"/>
      <c r="E73" s="11"/>
      <c r="F73" s="11"/>
      <c r="G73" s="11"/>
      <c r="H73" s="11"/>
      <c r="I73" s="11"/>
      <c r="J73" s="11"/>
      <c r="K73" s="11"/>
      <c r="L73" s="11"/>
      <c r="M73" s="11"/>
      <c r="N73" s="11"/>
      <c r="O73" s="11"/>
      <c r="P73" s="11"/>
      <c r="Q73" s="11"/>
      <c r="R73" s="11"/>
      <c r="S73" s="11"/>
      <c r="T73" s="11"/>
      <c r="U73" s="11"/>
    </row>
    <row r="74" ht="15.75" customHeight="1">
      <c r="A74" s="11"/>
      <c r="B74" s="11"/>
      <c r="C74" s="11"/>
      <c r="D74" s="11"/>
      <c r="E74" s="11"/>
      <c r="F74" s="11"/>
      <c r="G74" s="11"/>
      <c r="H74" s="11"/>
      <c r="I74" s="11"/>
      <c r="J74" s="11"/>
      <c r="K74" s="11"/>
      <c r="L74" s="11"/>
      <c r="M74" s="11"/>
      <c r="N74" s="11"/>
      <c r="O74" s="11"/>
      <c r="P74" s="11"/>
      <c r="Q74" s="11"/>
      <c r="R74" s="11"/>
      <c r="S74" s="11"/>
      <c r="T74" s="11"/>
      <c r="U74" s="11"/>
    </row>
    <row r="75" ht="15.75" customHeight="1">
      <c r="A75" s="11"/>
      <c r="B75" s="11"/>
      <c r="C75" s="11"/>
      <c r="D75" s="11"/>
      <c r="E75" s="11"/>
      <c r="F75" s="11"/>
      <c r="G75" s="11"/>
      <c r="H75" s="11"/>
      <c r="I75" s="11"/>
      <c r="J75" s="11"/>
      <c r="K75" s="11"/>
      <c r="L75" s="11"/>
      <c r="M75" s="11"/>
      <c r="N75" s="11"/>
      <c r="O75" s="11"/>
      <c r="P75" s="11"/>
      <c r="Q75" s="11"/>
      <c r="R75" s="11"/>
      <c r="S75" s="11"/>
      <c r="T75" s="11"/>
      <c r="U75" s="11"/>
    </row>
    <row r="76" ht="15.75" customHeight="1">
      <c r="A76" s="11"/>
      <c r="B76" s="11"/>
      <c r="C76" s="11"/>
      <c r="D76" s="11"/>
      <c r="E76" s="11"/>
      <c r="F76" s="11"/>
      <c r="G76" s="11"/>
      <c r="H76" s="11"/>
      <c r="I76" s="11"/>
      <c r="J76" s="11"/>
      <c r="K76" s="11"/>
      <c r="L76" s="11"/>
      <c r="M76" s="11"/>
      <c r="N76" s="11"/>
      <c r="O76" s="11"/>
      <c r="P76" s="11"/>
      <c r="Q76" s="11"/>
      <c r="R76" s="11"/>
      <c r="S76" s="11"/>
      <c r="T76" s="11"/>
      <c r="U76" s="11"/>
    </row>
    <row r="77" ht="15.75" customHeight="1">
      <c r="A77" s="11"/>
      <c r="B77" s="11"/>
      <c r="C77" s="11"/>
      <c r="D77" s="11"/>
      <c r="E77" s="11"/>
      <c r="F77" s="11"/>
      <c r="G77" s="11"/>
      <c r="H77" s="11"/>
      <c r="I77" s="11"/>
      <c r="J77" s="11"/>
      <c r="K77" s="11"/>
      <c r="L77" s="11"/>
      <c r="M77" s="11"/>
      <c r="N77" s="11"/>
      <c r="O77" s="11"/>
      <c r="P77" s="11"/>
      <c r="Q77" s="11"/>
      <c r="R77" s="11"/>
      <c r="S77" s="11"/>
      <c r="T77" s="11"/>
      <c r="U77" s="11"/>
    </row>
    <row r="78" ht="15.75" customHeight="1">
      <c r="A78" s="11"/>
      <c r="B78" s="11"/>
      <c r="C78" s="11"/>
      <c r="D78" s="11"/>
      <c r="E78" s="11"/>
      <c r="F78" s="11"/>
      <c r="G78" s="11"/>
      <c r="H78" s="11"/>
      <c r="I78" s="11"/>
      <c r="J78" s="11"/>
      <c r="K78" s="11"/>
      <c r="L78" s="11"/>
      <c r="M78" s="11"/>
      <c r="N78" s="11"/>
      <c r="O78" s="11"/>
      <c r="P78" s="11"/>
      <c r="Q78" s="11"/>
      <c r="R78" s="11"/>
      <c r="S78" s="11"/>
      <c r="T78" s="11"/>
      <c r="U78" s="11"/>
    </row>
    <row r="79" ht="15.75" customHeight="1">
      <c r="A79" s="11"/>
      <c r="B79" s="11"/>
      <c r="C79" s="11"/>
      <c r="D79" s="11"/>
      <c r="E79" s="11"/>
      <c r="F79" s="11"/>
      <c r="G79" s="11"/>
      <c r="H79" s="11"/>
      <c r="I79" s="11"/>
      <c r="J79" s="11"/>
      <c r="K79" s="11"/>
      <c r="L79" s="11"/>
      <c r="M79" s="11"/>
      <c r="N79" s="11"/>
      <c r="O79" s="11"/>
      <c r="P79" s="11"/>
      <c r="Q79" s="11"/>
      <c r="R79" s="11"/>
      <c r="S79" s="11"/>
      <c r="T79" s="11"/>
      <c r="U79" s="11"/>
    </row>
    <row r="80" ht="15.75" customHeight="1">
      <c r="A80" s="11"/>
      <c r="B80" s="11"/>
      <c r="C80" s="11"/>
      <c r="D80" s="11"/>
      <c r="E80" s="11"/>
      <c r="F80" s="11"/>
      <c r="G80" s="11"/>
      <c r="H80" s="11"/>
      <c r="I80" s="11"/>
      <c r="J80" s="11"/>
      <c r="K80" s="11"/>
      <c r="L80" s="11"/>
      <c r="M80" s="11"/>
      <c r="N80" s="11"/>
      <c r="O80" s="11"/>
      <c r="P80" s="11"/>
      <c r="Q80" s="11"/>
      <c r="R80" s="11"/>
      <c r="S80" s="11"/>
      <c r="T80" s="11"/>
      <c r="U80" s="11"/>
    </row>
    <row r="81" ht="15.75" customHeight="1">
      <c r="A81" s="11"/>
      <c r="B81" s="11"/>
      <c r="C81" s="11"/>
      <c r="D81" s="11"/>
      <c r="E81" s="11"/>
      <c r="F81" s="11"/>
      <c r="G81" s="11"/>
      <c r="H81" s="11"/>
      <c r="I81" s="11"/>
      <c r="J81" s="11"/>
      <c r="K81" s="11"/>
      <c r="L81" s="11"/>
      <c r="M81" s="11"/>
      <c r="N81" s="11"/>
      <c r="O81" s="11"/>
      <c r="P81" s="11"/>
      <c r="Q81" s="11"/>
      <c r="R81" s="11"/>
      <c r="S81" s="11"/>
      <c r="T81" s="11"/>
      <c r="U81" s="11"/>
    </row>
    <row r="82" ht="15.75" customHeight="1">
      <c r="A82" s="11"/>
      <c r="B82" s="11"/>
      <c r="C82" s="11"/>
      <c r="D82" s="11"/>
      <c r="E82" s="11"/>
      <c r="F82" s="11"/>
      <c r="G82" s="11"/>
      <c r="H82" s="11"/>
      <c r="I82" s="11"/>
      <c r="J82" s="11"/>
      <c r="K82" s="11"/>
      <c r="L82" s="11"/>
      <c r="M82" s="11"/>
      <c r="N82" s="11"/>
      <c r="O82" s="11"/>
      <c r="P82" s="11"/>
      <c r="Q82" s="11"/>
      <c r="R82" s="11"/>
      <c r="S82" s="11"/>
      <c r="T82" s="11"/>
      <c r="U82" s="11"/>
    </row>
    <row r="83" ht="15.75" customHeight="1">
      <c r="A83" s="11"/>
      <c r="B83" s="11"/>
      <c r="C83" s="11"/>
      <c r="D83" s="11"/>
      <c r="E83" s="11"/>
      <c r="F83" s="11"/>
      <c r="G83" s="11"/>
      <c r="H83" s="11"/>
      <c r="I83" s="11"/>
      <c r="J83" s="11"/>
      <c r="K83" s="11"/>
      <c r="L83" s="11"/>
      <c r="M83" s="11"/>
      <c r="N83" s="11"/>
      <c r="O83" s="11"/>
      <c r="P83" s="11"/>
      <c r="Q83" s="11"/>
      <c r="R83" s="11"/>
      <c r="S83" s="11"/>
      <c r="T83" s="11"/>
      <c r="U83" s="11"/>
    </row>
    <row r="84" ht="15.75" customHeight="1">
      <c r="A84" s="11"/>
      <c r="B84" s="11"/>
      <c r="C84" s="11"/>
      <c r="D84" s="11"/>
      <c r="E84" s="11"/>
      <c r="F84" s="11"/>
      <c r="G84" s="11"/>
      <c r="H84" s="11"/>
      <c r="I84" s="11"/>
      <c r="J84" s="11"/>
      <c r="K84" s="11"/>
      <c r="L84" s="11"/>
      <c r="M84" s="11"/>
      <c r="N84" s="11"/>
      <c r="O84" s="11"/>
      <c r="P84" s="11"/>
      <c r="Q84" s="11"/>
      <c r="R84" s="11"/>
      <c r="S84" s="11"/>
      <c r="T84" s="11"/>
      <c r="U84" s="11"/>
    </row>
    <row r="85" ht="15.75" customHeight="1">
      <c r="A85" s="11"/>
      <c r="B85" s="11"/>
      <c r="C85" s="11"/>
      <c r="D85" s="11"/>
      <c r="E85" s="11"/>
      <c r="F85" s="11"/>
      <c r="G85" s="11"/>
      <c r="H85" s="11"/>
      <c r="I85" s="11"/>
      <c r="J85" s="11"/>
      <c r="K85" s="11"/>
      <c r="L85" s="11"/>
      <c r="M85" s="11"/>
      <c r="N85" s="11"/>
      <c r="O85" s="11"/>
      <c r="P85" s="11"/>
      <c r="Q85" s="11"/>
      <c r="R85" s="11"/>
      <c r="S85" s="11"/>
      <c r="T85" s="11"/>
      <c r="U85" s="11"/>
    </row>
    <row r="86" ht="15.75" customHeight="1">
      <c r="A86" s="11"/>
      <c r="B86" s="11"/>
      <c r="C86" s="11"/>
      <c r="D86" s="11"/>
      <c r="E86" s="11"/>
      <c r="F86" s="11"/>
      <c r="G86" s="11"/>
      <c r="H86" s="11"/>
      <c r="I86" s="11"/>
      <c r="J86" s="11"/>
      <c r="K86" s="11"/>
      <c r="L86" s="11"/>
      <c r="M86" s="11"/>
      <c r="N86" s="11"/>
      <c r="O86" s="11"/>
      <c r="P86" s="11"/>
      <c r="Q86" s="11"/>
      <c r="R86" s="11"/>
      <c r="S86" s="11"/>
      <c r="T86" s="11"/>
      <c r="U86" s="11"/>
    </row>
    <row r="87" ht="15.75" customHeight="1">
      <c r="A87" s="11"/>
      <c r="B87" s="11"/>
      <c r="C87" s="11"/>
      <c r="D87" s="11"/>
      <c r="E87" s="11"/>
      <c r="F87" s="11"/>
      <c r="G87" s="11"/>
      <c r="H87" s="11"/>
      <c r="I87" s="11"/>
      <c r="J87" s="11"/>
      <c r="K87" s="11"/>
      <c r="L87" s="11"/>
      <c r="M87" s="11"/>
      <c r="N87" s="11"/>
      <c r="O87" s="11"/>
      <c r="P87" s="11"/>
      <c r="Q87" s="11"/>
      <c r="R87" s="11"/>
      <c r="S87" s="11"/>
      <c r="T87" s="11"/>
      <c r="U87" s="11"/>
    </row>
    <row r="88" ht="15.75" customHeight="1">
      <c r="A88" s="11"/>
      <c r="B88" s="11"/>
      <c r="C88" s="11"/>
      <c r="D88" s="11"/>
      <c r="E88" s="11"/>
      <c r="F88" s="11"/>
      <c r="G88" s="11"/>
      <c r="H88" s="11"/>
      <c r="I88" s="11"/>
      <c r="J88" s="11"/>
      <c r="K88" s="11"/>
      <c r="L88" s="11"/>
      <c r="M88" s="11"/>
      <c r="N88" s="11"/>
      <c r="O88" s="11"/>
      <c r="P88" s="11"/>
      <c r="Q88" s="11"/>
      <c r="R88" s="11"/>
      <c r="S88" s="11"/>
      <c r="T88" s="11"/>
      <c r="U88" s="11"/>
    </row>
    <row r="89" ht="15.75" customHeight="1">
      <c r="A89" s="11"/>
      <c r="B89" s="11"/>
      <c r="C89" s="11"/>
      <c r="D89" s="11"/>
      <c r="E89" s="11"/>
      <c r="F89" s="11"/>
      <c r="G89" s="11"/>
      <c r="H89" s="11"/>
      <c r="I89" s="11"/>
      <c r="J89" s="11"/>
      <c r="K89" s="11"/>
      <c r="L89" s="11"/>
      <c r="M89" s="11"/>
      <c r="N89" s="11"/>
      <c r="O89" s="11"/>
      <c r="P89" s="11"/>
      <c r="Q89" s="11"/>
      <c r="R89" s="11"/>
      <c r="S89" s="11"/>
      <c r="T89" s="11"/>
      <c r="U89" s="11"/>
    </row>
    <row r="90" ht="15.75" customHeight="1">
      <c r="A90" s="11"/>
      <c r="B90" s="11"/>
      <c r="C90" s="11"/>
      <c r="D90" s="11"/>
      <c r="E90" s="11"/>
      <c r="F90" s="11"/>
      <c r="G90" s="11"/>
      <c r="H90" s="11"/>
      <c r="I90" s="11"/>
      <c r="J90" s="11"/>
      <c r="K90" s="11"/>
      <c r="L90" s="11"/>
      <c r="M90" s="11"/>
      <c r="N90" s="11"/>
      <c r="O90" s="11"/>
      <c r="P90" s="11"/>
      <c r="Q90" s="11"/>
      <c r="R90" s="11"/>
      <c r="S90" s="11"/>
      <c r="T90" s="11"/>
      <c r="U90" s="11"/>
    </row>
    <row r="91" ht="15.75" customHeight="1">
      <c r="A91" s="11"/>
      <c r="B91" s="11"/>
      <c r="C91" s="11"/>
      <c r="D91" s="11"/>
      <c r="E91" s="11"/>
      <c r="F91" s="11"/>
      <c r="G91" s="11"/>
      <c r="H91" s="11"/>
      <c r="I91" s="11"/>
      <c r="J91" s="11"/>
      <c r="K91" s="11"/>
      <c r="L91" s="11"/>
      <c r="M91" s="11"/>
      <c r="N91" s="11"/>
      <c r="O91" s="11"/>
      <c r="P91" s="11"/>
      <c r="Q91" s="11"/>
      <c r="R91" s="11"/>
      <c r="S91" s="11"/>
      <c r="T91" s="11"/>
      <c r="U91" s="11"/>
    </row>
    <row r="92" ht="15.75" customHeight="1">
      <c r="A92" s="11"/>
      <c r="B92" s="11"/>
      <c r="C92" s="11"/>
      <c r="D92" s="11"/>
      <c r="E92" s="11"/>
      <c r="F92" s="11"/>
      <c r="G92" s="11"/>
      <c r="H92" s="11"/>
      <c r="I92" s="11"/>
      <c r="J92" s="11"/>
      <c r="K92" s="11"/>
      <c r="L92" s="11"/>
      <c r="M92" s="11"/>
      <c r="N92" s="11"/>
      <c r="O92" s="11"/>
      <c r="P92" s="11"/>
      <c r="Q92" s="11"/>
      <c r="R92" s="11"/>
      <c r="S92" s="11"/>
      <c r="T92" s="11"/>
      <c r="U92" s="11"/>
    </row>
    <row r="93" ht="15.75" customHeight="1">
      <c r="A93" s="11"/>
      <c r="B93" s="11"/>
      <c r="C93" s="11"/>
      <c r="D93" s="11"/>
      <c r="E93" s="11"/>
      <c r="F93" s="11"/>
      <c r="G93" s="11"/>
      <c r="H93" s="11"/>
      <c r="I93" s="11"/>
      <c r="J93" s="11"/>
      <c r="K93" s="11"/>
      <c r="L93" s="11"/>
      <c r="M93" s="11"/>
      <c r="N93" s="11"/>
      <c r="O93" s="11"/>
      <c r="P93" s="11"/>
      <c r="Q93" s="11"/>
      <c r="R93" s="11"/>
      <c r="S93" s="11"/>
      <c r="T93" s="11"/>
      <c r="U93" s="11"/>
    </row>
    <row r="94" ht="15.75" customHeight="1">
      <c r="A94" s="11"/>
      <c r="B94" s="11"/>
      <c r="C94" s="11"/>
      <c r="D94" s="11"/>
      <c r="E94" s="11"/>
      <c r="F94" s="11"/>
      <c r="G94" s="11"/>
      <c r="H94" s="11"/>
      <c r="I94" s="11"/>
      <c r="J94" s="11"/>
      <c r="K94" s="11"/>
      <c r="L94" s="11"/>
      <c r="M94" s="11"/>
      <c r="N94" s="11"/>
      <c r="O94" s="11"/>
      <c r="P94" s="11"/>
      <c r="Q94" s="11"/>
      <c r="R94" s="11"/>
      <c r="S94" s="11"/>
      <c r="T94" s="11"/>
      <c r="U94" s="11"/>
    </row>
    <row r="95" ht="15.75" customHeight="1">
      <c r="A95" s="11"/>
      <c r="B95" s="11"/>
      <c r="C95" s="11"/>
      <c r="D95" s="11"/>
      <c r="E95" s="11"/>
      <c r="F95" s="11"/>
      <c r="G95" s="11"/>
      <c r="H95" s="11"/>
      <c r="I95" s="11"/>
      <c r="J95" s="11"/>
      <c r="K95" s="11"/>
      <c r="L95" s="11"/>
      <c r="M95" s="11"/>
      <c r="N95" s="11"/>
      <c r="O95" s="11"/>
      <c r="P95" s="11"/>
      <c r="Q95" s="11"/>
      <c r="R95" s="11"/>
      <c r="S95" s="11"/>
      <c r="T95" s="11"/>
      <c r="U95" s="11"/>
    </row>
    <row r="96" ht="15.75" customHeight="1">
      <c r="A96" s="11"/>
      <c r="B96" s="11"/>
      <c r="C96" s="11"/>
      <c r="D96" s="11"/>
      <c r="E96" s="11"/>
      <c r="F96" s="11"/>
      <c r="G96" s="11"/>
      <c r="H96" s="11"/>
      <c r="I96" s="11"/>
      <c r="J96" s="11"/>
      <c r="K96" s="11"/>
      <c r="L96" s="11"/>
      <c r="M96" s="11"/>
      <c r="N96" s="11"/>
      <c r="O96" s="11"/>
      <c r="P96" s="11"/>
      <c r="Q96" s="11"/>
      <c r="R96" s="11"/>
      <c r="S96" s="11"/>
      <c r="T96" s="11"/>
      <c r="U96" s="11"/>
    </row>
    <row r="97" ht="15.75" customHeight="1">
      <c r="A97" s="11"/>
      <c r="B97" s="11"/>
      <c r="C97" s="11"/>
      <c r="D97" s="11"/>
      <c r="E97" s="11"/>
      <c r="F97" s="11"/>
      <c r="G97" s="11"/>
      <c r="H97" s="11"/>
      <c r="I97" s="11"/>
      <c r="J97" s="11"/>
      <c r="K97" s="11"/>
      <c r="L97" s="11"/>
      <c r="M97" s="11"/>
      <c r="N97" s="11"/>
      <c r="O97" s="11"/>
      <c r="P97" s="11"/>
      <c r="Q97" s="11"/>
      <c r="R97" s="11"/>
      <c r="S97" s="11"/>
      <c r="T97" s="11"/>
      <c r="U97" s="11"/>
    </row>
    <row r="98" ht="15.75" customHeight="1">
      <c r="A98" s="11"/>
      <c r="B98" s="11"/>
      <c r="C98" s="11"/>
      <c r="D98" s="11"/>
      <c r="E98" s="11"/>
      <c r="F98" s="11"/>
      <c r="G98" s="11"/>
      <c r="H98" s="11"/>
      <c r="I98" s="11"/>
      <c r="J98" s="11"/>
      <c r="K98" s="11"/>
      <c r="L98" s="11"/>
      <c r="M98" s="11"/>
      <c r="N98" s="11"/>
      <c r="O98" s="11"/>
      <c r="P98" s="11"/>
      <c r="Q98" s="11"/>
      <c r="R98" s="11"/>
      <c r="S98" s="11"/>
      <c r="T98" s="11"/>
      <c r="U98" s="11"/>
    </row>
    <row r="99" ht="15.75" customHeight="1">
      <c r="A99" s="11"/>
      <c r="B99" s="11"/>
      <c r="C99" s="11"/>
      <c r="D99" s="11"/>
      <c r="E99" s="11"/>
      <c r="F99" s="11"/>
      <c r="G99" s="11"/>
      <c r="H99" s="11"/>
      <c r="I99" s="11"/>
      <c r="J99" s="11"/>
      <c r="K99" s="11"/>
      <c r="L99" s="11"/>
      <c r="M99" s="11"/>
      <c r="N99" s="11"/>
      <c r="O99" s="11"/>
      <c r="P99" s="11"/>
      <c r="Q99" s="11"/>
      <c r="R99" s="11"/>
      <c r="S99" s="11"/>
      <c r="T99" s="11"/>
      <c r="U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row>
  </sheetData>
  <mergeCells>
    <mergeCell ref="N17:O17"/>
    <mergeCell ref="C9:S10"/>
    <mergeCell ref="N13:O13"/>
    <mergeCell ref="A1:U3"/>
    <mergeCell ref="A4:G4"/>
    <mergeCell ref="H4:N4"/>
    <mergeCell ref="O4:U4"/>
    <mergeCell ref="A5:U5"/>
  </mergeCells>
  <dataValidations count="3">
    <dataValidation type="list" allowBlank="1" showInputMessage="1" showErrorMessage="1" sqref="O14">
      <formula1>"Base,Best,Worst"</formula1>
    </dataValidation>
    <dataValidation type="list" allowBlank="1" showInputMessage="1" showErrorMessage="1" sqref="O15">
      <formula1>"Scenario assumption,Debt Schedule"</formula1>
    </dataValidation>
    <dataValidation type="list" allowBlank="1" showInputMessage="1" showErrorMessage="1" sqref="O16">
      <formula1>"Growth Assumptions,Capex &amp; D&amp;A Schedule"</formula1>
    </dataValidation>
  </dataValidations>
  <pageMargins left="0.7" right="0.7" top="0.75" bottom="0.75" header="0.3" footer="0.3"/>
  <drawing r:id="R9cc91029b5bc4c80"/>
</worksheet>
</file>

<file path=xl/worksheets/sheet20.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4" width="10.83203125" style="11" customWidth="1"/>
    <col min="5" max="5" width="26.6640625" style="11" customWidth="1"/>
    <col min="6" max="6" width="16" style="11" customWidth="1"/>
    <col min="7" max="7" width="3.83203125" style="11" customWidth="1"/>
    <col min="8" max="8" width="13.33203125" style="11" customWidth="1"/>
    <col min="9" max="9" width="11.1640625" style="11" customWidth="1"/>
    <col min="10" max="10" width="0.6640625" style="11" customWidth="1"/>
    <col min="11" max="11" width="2.1640625" style="11" customWidth="1"/>
    <col min="12" max="12" width="11.6640625" style="11" customWidth="1"/>
    <col min="13" max="13" width="11.83203125" style="11" customWidth="1"/>
    <col min="14" max="14" width="12.1640625" style="11" customWidth="1"/>
    <col min="15" max="15" width="12" style="11" customWidth="1"/>
    <col min="16" max="21" width="13" style="11" customWidth="1"/>
    <col min="22" max="22" width="12.5" style="11" customWidth="1"/>
    <col min="23" max="26" width="10.83203125" style="11" customWidth="1"/>
  </cols>
  <sheetData>
    <row r="1" ht="15.75" customHeight="1">
      <c r="A1" s="318" t="s">
        <v>491</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5.75" customHeight="1">
      <c r="H6" s="11" t="s">
        <v>361</v>
      </c>
      <c r="I6" s="100">
        <v>46203</v>
      </c>
      <c r="Z6" s="11" t="s">
        <v>49</v>
      </c>
    </row>
    <row r="7" ht="15.75" customHeight="1">
      <c r="F7" s="389" t="s">
        <v>362</v>
      </c>
    </row>
    <row r="8" ht="16.5" customHeight="1">
      <c r="B8" s="317" t="s">
        <v>228</v>
      </c>
      <c r="C8" s="317"/>
      <c r="D8" s="317"/>
      <c r="E8" s="317"/>
      <c r="F8" s="33"/>
    </row>
    <row r="9" ht="15.75" customHeight="1">
      <c r="C9" s="326" t="s">
        <v>492</v>
      </c>
      <c r="D9" s="326"/>
      <c r="E9" s="326"/>
      <c r="F9" s="93" t="n">
        <f>WACC!G35</f>
        <v>0.05836052512447313</v>
      </c>
      <c r="G9" s="96"/>
      <c r="H9" s="96"/>
      <c r="I9" s="96"/>
      <c r="J9" s="96"/>
      <c r="K9" s="96"/>
      <c r="L9" s="96"/>
      <c r="M9" s="96"/>
      <c r="N9" s="96"/>
      <c r="O9" s="96"/>
      <c r="P9" s="96"/>
      <c r="Q9" s="96"/>
      <c r="R9" s="96"/>
      <c r="S9" s="96"/>
      <c r="T9" s="96"/>
      <c r="U9" s="96"/>
      <c r="V9" s="96"/>
    </row>
    <row r="10" ht="15.75" customHeight="1">
      <c r="C10" s="465" t="s">
        <v>493</v>
      </c>
      <c r="D10" s="465"/>
      <c r="E10" s="465"/>
      <c r="F10" s="132">
        <v>2.5000000000000001E-2</v>
      </c>
      <c r="G10" s="15"/>
      <c r="H10" s="15"/>
      <c r="I10" s="15"/>
      <c r="J10" s="15"/>
    </row>
    <row r="11" ht="15.75" customHeight="1">
      <c r="C11" s="326" t="s">
        <v>494</v>
      </c>
      <c r="D11" s="326"/>
      <c r="E11" s="326"/>
      <c r="F11" s="133" t="n">
        <f>(DATE(2026,6,30)-DATE(2025,12,31))/365</f>
        <v>0.49589041666666667</v>
      </c>
      <c r="G11" s="15"/>
      <c r="H11" s="15"/>
      <c r="I11" s="15"/>
      <c r="J11" s="15"/>
      <c r="K11" s="15"/>
    </row>
    <row r="12" ht="15.75" customHeight="1">
      <c r="C12" s="52"/>
      <c r="D12" s="52"/>
      <c r="E12" s="52"/>
      <c r="F12" s="52"/>
      <c r="G12" s="15"/>
      <c r="H12" s="15"/>
      <c r="I12" s="109"/>
      <c r="J12" s="15"/>
      <c r="K12" s="15"/>
      <c r="U12" s="140"/>
    </row>
    <row r="13" ht="15.75" customHeight="1">
      <c r="C13" s="52"/>
      <c r="D13" s="52"/>
      <c r="E13" s="52"/>
      <c r="F13" s="52"/>
      <c r="G13" s="15"/>
      <c r="H13" s="15"/>
      <c r="I13" s="15"/>
      <c r="J13" s="15"/>
      <c r="K13" s="15"/>
      <c r="L13" s="95" t="s">
        <v>257</v>
      </c>
      <c r="M13" s="95" t="s">
        <v>258</v>
      </c>
      <c r="N13" s="95" t="s">
        <v>259</v>
      </c>
      <c r="O13" s="95" t="s">
        <v>260</v>
      </c>
      <c r="P13" s="95" t="s">
        <v>261</v>
      </c>
      <c r="Q13" s="95" t="s">
        <v>262</v>
      </c>
      <c r="R13" s="95" t="s">
        <v>263</v>
      </c>
      <c r="S13" s="95" t="s">
        <v>264</v>
      </c>
      <c r="T13" s="95" t="s">
        <v>265</v>
      </c>
      <c r="U13" s="95" t="s">
        <v>266</v>
      </c>
    </row>
    <row r="14" ht="15.75" customHeight="1">
      <c r="B14" s="356" t="s">
        <v>495</v>
      </c>
      <c r="C14" s="356"/>
      <c r="D14" s="356"/>
      <c r="E14" s="356"/>
      <c r="H14" s="15"/>
      <c r="I14" s="15"/>
      <c r="J14" s="15"/>
      <c r="K14" s="15"/>
      <c r="L14" s="134"/>
      <c r="M14" s="134"/>
      <c r="N14" s="134"/>
      <c r="O14" s="134"/>
      <c r="P14" s="134"/>
      <c r="Q14" s="134"/>
      <c r="R14" s="134"/>
      <c r="S14" s="134"/>
      <c r="T14" s="134"/>
      <c r="U14" s="134"/>
    </row>
    <row r="15" ht="15.75" customHeight="1">
      <c r="C15" s="464" t="s">
        <v>496</v>
      </c>
      <c r="D15" s="464"/>
      <c r="E15" s="464"/>
      <c r="L15" s="135" t="n">
        <f>'Free Cash Flows'!L18</f>
        <v>1399598.158221471</v>
      </c>
      <c r="M15" s="135" t="n">
        <f>'Free Cash Flows'!M18</f>
        <v>1522492.8281492833</v>
      </c>
      <c r="N15" s="135" t="n">
        <f>'Free Cash Flows'!N18</f>
        <v>1647807.0367750889</v>
      </c>
      <c r="O15" s="135" t="n">
        <f>'Free Cash Flows'!O18</f>
        <v>1787347.4433198785</v>
      </c>
      <c r="P15" s="135" t="n">
        <f>'Free Cash Flows'!P18</f>
        <v>1907344.7640724296</v>
      </c>
      <c r="Q15" s="135" t="n">
        <f>'Free Cash Flows'!Q18</f>
        <v>2016240.5826654667</v>
      </c>
      <c r="R15" s="135" t="n">
        <f>'Free Cash Flows'!R18</f>
        <v>2119241.3812929345</v>
      </c>
      <c r="S15" s="135" t="n">
        <f>'Free Cash Flows'!S18</f>
        <v>2231977.2641536966</v>
      </c>
      <c r="T15" s="135" t="n">
        <f>'Free Cash Flows'!T18</f>
        <v>2330403.1438859943</v>
      </c>
      <c r="U15" s="135" t="n">
        <f>'Free Cash Flows'!U18</f>
        <v>2411956.5904093855</v>
      </c>
    </row>
    <row r="16" ht="15.75" customHeight="1">
      <c r="B16" s="12"/>
      <c r="C16" s="464" t="s">
        <v>497</v>
      </c>
      <c r="D16" s="464"/>
      <c r="E16" s="464"/>
      <c r="L16" s="136" t="n">
        <f>1/((1+$F$9)^(1-$F$11))</f>
        <v>0.9718113105273628</v>
      </c>
      <c r="M16" s="136" t="n">
        <f>1/((1+$F$9)^(2-$F$11))</f>
        <v>0.9182233156447974</v>
      </c>
      <c r="N16" s="136" t="n">
        <f>1/((1+$F$9)^(3-$F$11))</f>
        <v>0.8675902906873872</v>
      </c>
      <c r="O16" s="136" t="n">
        <f>1/((1+$F$9)^(4-$F$11))</f>
        <v>0.8197492915614464</v>
      </c>
      <c r="P16" s="136" t="n">
        <f>1/((1+$F$9)^(5-$F$11))</f>
        <v>0.7745463592994798</v>
      </c>
      <c r="Q16" s="136" t="n">
        <f>1/((1+$F$9)^(6-$F$11))</f>
        <v>0.7318360245988822</v>
      </c>
      <c r="R16" s="136" t="n">
        <f>1/((1+$F$9)^(7-$F$11))</f>
        <v>0.6914808396815549</v>
      </c>
      <c r="S16" s="136" t="n">
        <f>1/((1+$F$9)^(8-$F$11))</f>
        <v>0.6533509359679021</v>
      </c>
      <c r="T16" s="136" t="n">
        <f>1/((1+$F$9)^(9-$F$11))</f>
        <v>0.6173236061417369</v>
      </c>
      <c r="U16" s="136" t="n">
        <f>1/((1+$F$9)^(10-$F$11))</f>
        <v>0.583282909261127</v>
      </c>
    </row>
    <row r="17" ht="15.75" customHeight="1">
      <c r="C17" s="464" t="s">
        <v>498</v>
      </c>
      <c r="D17" s="464"/>
      <c r="E17" s="464"/>
      <c r="I17" s="36"/>
      <c r="L17" s="135" t="n">
        <f t="shared" ref="L17:U17" si="0">L15*L16</f>
        <v>1360145.320352891</v>
      </c>
      <c r="M17" s="135">
        <f t="shared" si="0"/>
        <v>1397988.4127086597</v>
      </c>
      <c r="N17" s="135">
        <f t="shared" si="0"/>
        <v>1429621.3860324216</v>
      </c>
      <c r="O17" s="135">
        <f t="shared" si="0"/>
        <v>1465176.8004356329</v>
      </c>
      <c r="P17" s="135">
        <f t="shared" si="0"/>
        <v>1477326.9429412256</v>
      </c>
      <c r="Q17" s="135">
        <f t="shared" si="0"/>
        <v>1475557.492652829</v>
      </c>
      <c r="R17" s="135">
        <f t="shared" si="0"/>
        <v>1465414.8098243368</v>
      </c>
      <c r="S17" s="135">
        <f t="shared" si="0"/>
        <v>1458264.434593895</v>
      </c>
      <c r="T17" s="135">
        <f t="shared" si="0"/>
        <v>1438612.8725477429</v>
      </c>
      <c r="U17" s="137">
        <f t="shared" si="0"/>
        <v>1406853.0570655349</v>
      </c>
    </row>
    <row r="18" ht="15.75" customHeight="1">
      <c r="B18" s="356" t="s">
        <v>499</v>
      </c>
      <c r="C18" s="356"/>
      <c r="D18" s="356"/>
      <c r="E18" s="356"/>
      <c r="G18" s="70"/>
      <c r="J18" s="19"/>
      <c r="L18" s="134"/>
      <c r="M18" s="134"/>
      <c r="N18" s="134"/>
      <c r="O18" s="134"/>
      <c r="P18" s="138"/>
      <c r="Q18" s="138"/>
      <c r="R18" s="138"/>
      <c r="S18" s="138"/>
      <c r="T18" s="138"/>
      <c r="U18" s="138" t="n">
        <f>SUM(L17:U17)</f>
        <v>14374961.529155172</v>
      </c>
      <c r="V18" s="139"/>
    </row>
    <row r="19" ht="15.75" customHeight="1">
      <c r="B19" s="12"/>
      <c r="J19" s="19"/>
      <c r="L19" s="140"/>
      <c r="M19" s="140"/>
      <c r="N19" s="140"/>
      <c r="O19" s="140"/>
      <c r="P19" s="140"/>
      <c r="Q19" s="140"/>
      <c r="R19" s="140"/>
      <c r="S19" s="140"/>
      <c r="T19" s="140"/>
      <c r="U19" s="140"/>
    </row>
    <row r="21" ht="15.75" customHeight="1">
      <c r="B21" s="356" t="s">
        <v>500</v>
      </c>
      <c r="C21" s="356"/>
      <c r="D21" s="356"/>
      <c r="E21" s="356"/>
    </row>
    <row r="22" ht="15.75" customHeight="1">
      <c r="C22" s="464" t="s">
        <v>501</v>
      </c>
      <c r="D22" s="464"/>
      <c r="E22" s="464"/>
      <c r="F22" s="27" t="n">
        <f>U15*(1+F10)</f>
        <v>2472255.50516962</v>
      </c>
      <c r="G22" s="20"/>
    </row>
    <row r="23" ht="15.75" customHeight="1">
      <c r="C23" s="464" t="s">
        <v>502</v>
      </c>
      <c r="D23" s="464"/>
      <c r="E23" s="464"/>
      <c r="F23" s="27" t="n">
        <f>F22/(F9-F10)</f>
        <v>74107211.92023396</v>
      </c>
      <c r="G23" s="20"/>
    </row>
    <row r="24" ht="15.75" customHeight="1">
      <c r="C24" s="464" t="s">
        <v>503</v>
      </c>
      <c r="D24" s="464"/>
      <c r="E24" s="464"/>
      <c r="F24" s="31" t="n">
        <f>F23/((1+$F$9)^(10-F11))</f>
        <v>43225470.16606494</v>
      </c>
      <c r="G24" s="70"/>
    </row>
    <row r="25" ht="15.75" customHeight="1">
      <c r="C25" s="464" t="s">
        <v>504</v>
      </c>
      <c r="D25" s="464"/>
      <c r="E25" s="464"/>
      <c r="F25" s="141" t="n">
        <f>F23/Forecasts!U39</f>
        <v>16.499615961827182</v>
      </c>
      <c r="G25" s="142"/>
    </row>
    <row r="26" ht="15.75" customHeight="1">
      <c r="C26" s="464" t="s">
        <v>505</v>
      </c>
      <c r="D26" s="464"/>
      <c r="E26" s="464"/>
      <c r="F26" s="53" t="n">
        <f>F24/F28</f>
        <v>0.7504365660796244</v>
      </c>
      <c r="G26" s="84"/>
    </row>
    <row r="27" ht="15.75" customHeight="1">
      <c r="F27" s="33"/>
    </row>
    <row r="28" ht="15.75" customHeight="1">
      <c r="B28" s="316" t="s">
        <v>506</v>
      </c>
      <c r="C28" s="316"/>
      <c r="D28" s="316"/>
      <c r="E28" s="316"/>
      <c r="F28" s="130" t="n">
        <f>F24+U18</f>
        <v>57600431.69522011</v>
      </c>
      <c r="G28" s="13"/>
    </row>
    <row r="29" ht="15.75" customHeight="1">
      <c r="C29" s="433" t="s">
        <v>507</v>
      </c>
      <c r="D29" s="433"/>
      <c r="E29" s="433"/>
      <c r="F29" s="25" t="n">
        <f>-'Debt Schedule'!K35</f>
        <v>-9679</v>
      </c>
      <c r="G29" s="15"/>
    </row>
    <row r="30" ht="15.75" customHeight="1">
      <c r="C30" s="433" t="s">
        <v>508</v>
      </c>
      <c r="D30" s="433"/>
      <c r="E30" s="433"/>
      <c r="F30" s="25" t="n">
        <f>-'Economic Balance Sheet'!K48</f>
        <v>-7849</v>
      </c>
      <c r="G30" s="20"/>
    </row>
    <row r="31" ht="15.75" customHeight="1">
      <c r="B31" s="356" t="s">
        <v>509</v>
      </c>
      <c r="C31" s="356"/>
      <c r="D31" s="356"/>
      <c r="E31" s="356"/>
      <c r="F31" s="130" t="n">
        <f>F28+F29+F30</f>
        <v>57582903.69522011</v>
      </c>
      <c r="G31" s="143"/>
    </row>
    <row r="32" ht="15.75" customHeight="1">
      <c r="B32" s="12"/>
      <c r="C32" s="464" t="s">
        <v>510</v>
      </c>
      <c r="D32" s="464"/>
      <c r="E32" s="464"/>
      <c r="F32" s="125" t="n">
        <f>WACC!G28</f>
        <v>175916530</v>
      </c>
      <c r="G32" s="20"/>
    </row>
    <row r="33" ht="15.75" customHeight="1">
      <c r="C33" s="299" t="s">
        <v>511</v>
      </c>
      <c r="D33" s="299"/>
      <c r="E33" s="299"/>
      <c r="F33" s="131" t="n">
        <f>F31*1000/F32</f>
        <v>327.3308295429663</v>
      </c>
      <c r="G33" s="13"/>
    </row>
    <row r="34" ht="15.75" customHeight="1">
      <c r="F34" s="14"/>
    </row>
    <row r="35" ht="15.75" customHeight="1">
      <c r="F35" s="14"/>
    </row>
    <row r="36" ht="15.75" customHeight="1">
      <c r="F36" s="14"/>
    </row>
  </sheetData>
  <mergeCells>
    <mergeCell ref="C11:E11"/>
    <mergeCell ref="C10:E10"/>
    <mergeCell ref="C9:E9"/>
    <mergeCell ref="B8:E8"/>
    <mergeCell ref="B14:E14"/>
    <mergeCell ref="B21:E21"/>
    <mergeCell ref="B18:E18"/>
    <mergeCell ref="C17:E17"/>
    <mergeCell ref="C16:E16"/>
    <mergeCell ref="C15:E15"/>
    <mergeCell ref="C29:E29"/>
    <mergeCell ref="C30:E30"/>
    <mergeCell ref="C32:E32"/>
    <mergeCell ref="C33:E33"/>
    <mergeCell ref="C22:E22"/>
    <mergeCell ref="C23:E23"/>
    <mergeCell ref="C24:E24"/>
    <mergeCell ref="C25:E25"/>
    <mergeCell ref="C26:E26"/>
    <mergeCell ref="B28:E28"/>
    <mergeCell ref="B31:E31"/>
    <mergeCell ref="A1:Z3"/>
    <mergeCell ref="A4:G4"/>
    <mergeCell ref="H4:N4"/>
    <mergeCell ref="O4:Z4"/>
    <mergeCell ref="A5:Z5"/>
  </mergeCells>
  <pageMargins left="0.7" right="0.7" top="0.75" bottom="0.75" header="0.3" footer="0.3"/>
  <drawing r:id="Raef1ed25cf3f47e6"/>
</worksheet>
</file>

<file path=xl/worksheets/sheet21.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3" width="23.6640625" style="11" customWidth="1"/>
    <col min="4" max="4" width="15.83203125" style="11" customWidth="1"/>
    <col min="5" max="6" width="15.5" style="11" customWidth="1"/>
    <col min="7" max="7" width="15.83203125" style="11" customWidth="1"/>
    <col min="8" max="8" width="13" style="11" customWidth="1"/>
    <col min="9" max="9" width="9.6640625" style="11" customWidth="1"/>
    <col min="10" max="10" width="13.83203125" style="11" customWidth="1"/>
    <col min="11" max="11" width="25.5" style="11" customWidth="1"/>
    <col min="12" max="12" width="11.6640625" style="11" customWidth="1"/>
    <col min="13" max="13" width="11.83203125" style="11" customWidth="1"/>
    <col min="14" max="14" width="12.1640625" style="11" customWidth="1"/>
    <col min="15" max="15" width="12" style="11" customWidth="1"/>
    <col min="16" max="21" width="13" style="11" customWidth="1"/>
    <col min="22" max="22" width="12.5" style="11" customWidth="1"/>
    <col min="23" max="26" width="10.83203125" style="11" customWidth="1"/>
  </cols>
  <sheetData>
    <row r="1" ht="15.75" customHeight="1">
      <c r="A1" s="318" t="s">
        <v>491</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5.75" customHeight="1">
      <c r="I6" s="100"/>
    </row>
    <row r="7" ht="15.75" customHeight="1">
      <c r="B7" s="468" t="s">
        <v>228</v>
      </c>
      <c r="C7" s="468"/>
      <c r="D7" s="247"/>
      <c r="G7"/>
      <c r="H7"/>
      <c r="I7"/>
      <c r="J7"/>
      <c r="K7"/>
      <c r="L7"/>
      <c r="M7"/>
      <c r="N7"/>
      <c r="O7"/>
      <c r="P7"/>
      <c r="Q7"/>
      <c r="R7"/>
      <c r="S7"/>
      <c r="T7"/>
      <c r="U7"/>
      <c r="V7"/>
      <c r="W7"/>
      <c r="X7"/>
      <c r="Y7"/>
      <c r="Z7"/>
    </row>
    <row r="8" ht="15.75" customHeight="1">
      <c r="B8" s="278"/>
      <c r="C8" s="277" t="s">
        <v>512</v>
      </c>
      <c r="D8" s="466" t="n">
        <f>'DCF Valuation'!F9</f>
        <v>0.05836052512447313</v>
      </c>
      <c r="G8"/>
      <c r="H8"/>
      <c r="I8"/>
      <c r="J8"/>
      <c r="K8"/>
      <c r="L8"/>
      <c r="M8"/>
      <c r="N8"/>
      <c r="O8"/>
      <c r="P8"/>
      <c r="Q8"/>
      <c r="R8"/>
      <c r="S8"/>
      <c r="T8"/>
      <c r="U8"/>
      <c r="V8"/>
      <c r="W8"/>
      <c r="X8"/>
      <c r="Y8"/>
      <c r="Z8"/>
    </row>
    <row r="9" ht="15.75" customHeight="1">
      <c r="B9" s="277"/>
      <c r="C9" s="277" t="s">
        <v>513</v>
      </c>
      <c r="D9" s="466" t="n">
        <f>'DCF Valuation'!F10</f>
        <v>0.025</v>
      </c>
      <c r="G9"/>
      <c r="H9"/>
      <c r="I9"/>
      <c r="J9"/>
      <c r="K9"/>
      <c r="L9"/>
      <c r="M9"/>
      <c r="N9"/>
      <c r="O9"/>
      <c r="P9"/>
      <c r="Q9"/>
      <c r="R9"/>
      <c r="S9"/>
      <c r="T9"/>
      <c r="U9"/>
      <c r="V9"/>
      <c r="W9"/>
      <c r="X9"/>
      <c r="Y9"/>
      <c r="Z9"/>
    </row>
    <row r="10" ht="15.75" customHeight="1">
      <c r="B10" s="277"/>
      <c r="C10" s="277" t="s">
        <v>514</v>
      </c>
      <c r="D10" s="466">
        <v>2.5000000000000001E-3</v>
      </c>
      <c r="G10"/>
      <c r="H10"/>
      <c r="I10"/>
      <c r="J10"/>
      <c r="K10"/>
      <c r="L10"/>
      <c r="M10"/>
      <c r="N10"/>
      <c r="O10"/>
      <c r="P10"/>
      <c r="Q10"/>
      <c r="R10"/>
      <c r="S10"/>
      <c r="T10"/>
      <c r="U10"/>
      <c r="V10"/>
      <c r="W10"/>
      <c r="X10"/>
      <c r="Y10"/>
      <c r="Z10"/>
    </row>
    <row r="11" ht="15.75" customHeight="1">
      <c r="B11" s="277"/>
      <c r="C11" s="277" t="s">
        <v>515</v>
      </c>
      <c r="D11" s="466">
        <v>2.5000000000000001E-3</v>
      </c>
      <c r="G11"/>
      <c r="H11"/>
      <c r="I11"/>
      <c r="J11"/>
      <c r="K11"/>
      <c r="L11"/>
      <c r="M11"/>
      <c r="N11"/>
      <c r="O11"/>
      <c r="P11"/>
      <c r="Q11"/>
      <c r="R11"/>
      <c r="S11"/>
      <c r="T11"/>
      <c r="U11"/>
      <c r="V11"/>
      <c r="W11"/>
      <c r="X11"/>
      <c r="Y11"/>
      <c r="Z11"/>
    </row>
    <row r="12" ht="15.75" customHeight="1">
      <c r="B12" s="277"/>
      <c r="C12" s="277" t="s">
        <v>516</v>
      </c>
      <c r="D12" s="467" t="n">
        <f>WACC!G27</f>
        <v>318.85</v>
      </c>
      <c r="G12"/>
      <c r="H12"/>
      <c r="I12"/>
      <c r="J12"/>
      <c r="K12"/>
      <c r="L12"/>
      <c r="M12"/>
      <c r="N12"/>
      <c r="O12"/>
      <c r="P12"/>
      <c r="Q12"/>
      <c r="R12"/>
      <c r="S12"/>
      <c r="T12"/>
      <c r="U12"/>
      <c r="V12"/>
      <c r="W12"/>
      <c r="X12"/>
      <c r="Y12"/>
      <c r="Z12"/>
    </row>
    <row r="13" ht="15.75" customHeight="1">
      <c r="E13" s="261"/>
      <c r="G13"/>
      <c r="H13"/>
      <c r="I13"/>
      <c r="J13"/>
      <c r="K13"/>
      <c r="L13"/>
      <c r="M13"/>
      <c r="N13"/>
      <c r="O13"/>
      <c r="P13"/>
      <c r="Q13"/>
      <c r="R13"/>
      <c r="S13"/>
      <c r="T13"/>
      <c r="U13"/>
      <c r="V13"/>
      <c r="W13"/>
      <c r="X13"/>
      <c r="Y13"/>
      <c r="Z13"/>
    </row>
    <row r="14" ht="15.75" customHeight="1">
      <c r="C14" s="377" t="s">
        <v>517</v>
      </c>
      <c r="D14" s="378" t="n">
        <f>$D$9+(COLUMN()-COLUMN($G$14))*$D$11</f>
        <v>0.0175</v>
      </c>
      <c r="E14" s="378" t="n">
        <f t="shared" ref="E14:J14" si="0">$D$9+(COLUMN()-COLUMN($G$14))*$D$11</f>
        <v>0.02</v>
      </c>
      <c r="F14" s="378">
        <f t="shared" si="0"/>
        <v>2.2500000000000003E-2</v>
      </c>
      <c r="G14" s="378">
        <f t="shared" si="0"/>
        <v>2.5000000000000001E-2</v>
      </c>
      <c r="H14" s="378">
        <f t="shared" si="0"/>
        <v>2.75E-2</v>
      </c>
      <c r="I14" s="378">
        <f t="shared" si="0"/>
        <v>3.0000000000000002E-2</v>
      </c>
      <c r="J14" s="378">
        <f t="shared" si="0"/>
        <v>3.2500000000000001E-2</v>
      </c>
      <c r="K14"/>
      <c r="L14"/>
      <c r="M14"/>
      <c r="N14"/>
      <c r="O14"/>
      <c r="P14"/>
      <c r="Q14"/>
      <c r="R14"/>
      <c r="S14"/>
      <c r="T14"/>
      <c r="U14"/>
      <c r="V14"/>
      <c r="W14"/>
      <c r="X14"/>
      <c r="Y14"/>
      <c r="Z14"/>
    </row>
    <row r="15" ht="15.75" customHeight="1">
      <c r="C15" s="378" t="n">
        <f>$D$8+(ROW()-ROW($C$18))*$D$10</f>
        <v>0.05086052512447313</v>
      </c>
      <c r="D15" s="375" t="n" cm="1">
        <f t="array" ref="D15">(SUMPRODUCT('DCF Valuation'!$L$15:$U$15/(1+$C15)^(COLUMN('DCF Valuation'!$L$15:$U$15)-11-'DCF Valuation'!$F$11))+('DCF Valuation'!$U$15*(1+D$14)/($C15-D$14))/(1+$C15)^(10-'DCF Valuation'!$F$11)+'DCF Valuation'!$F$29+'DCF Valuation'!$F$30)*1000/'DCF Valuation'!$F$32</f>
        <v>368.28853398427196</v>
      </c>
      <c r="E15" s="375" t="n" cm="1">
        <f t="array" ref="E15">(SUMPRODUCT('DCF Valuation'!$L$15:$U$15/(1+$C15)^(COLUMN('DCF Valuation'!$L$15:$U$15)-11-'DCF Valuation'!$F$11))+('DCF Valuation'!$U$15*(1+E$14)/($C15-E$14))/(1+$C15)^(10-'DCF Valuation'!$F$11)+'DCF Valuation'!$F$29+'DCF Valuation'!$F$30)*1000/'DCF Valuation'!$F$32</f>
        <v>390.12311932125334</v>
      </c>
      <c r="F15" s="375" t="n" cm="1">
        <f t="array" ref="F15">(SUMPRODUCT('DCF Valuation'!$L$15:$U$15/(1+$C15)^(COLUMN('DCF Valuation'!$L$15:$U$15)-11-'DCF Valuation'!$F$11))+('DCF Valuation'!$U$15*(1+F$14)/($C15-F$14))/(1+$C15)^(10-'DCF Valuation'!$F$11)+'DCF Valuation'!$F$29+'DCF Valuation'!$F$30)*1000/'DCF Valuation'!$F$32</f>
        <v>415.8071724027761</v>
      </c>
      <c r="G15" s="375" t="n" cm="1">
        <f t="array" ref="G15">(SUMPRODUCT('DCF Valuation'!$L$15:$U$15/(1+$C15)^(COLUMN('DCF Valuation'!$L$15:$U$15)-11-'DCF Valuation'!$F$11))+('DCF Valuation'!$U$15*(1+G$14)/($C15-G$14))/(1+$C15)^(10-'DCF Valuation'!$F$11)+'DCF Valuation'!$F$29+'DCF Valuation'!$F$30)*1000/'DCF Valuation'!$F$32</f>
        <v>446.45710551919706</v>
      </c>
      <c r="H15" s="375" t="n" cm="1">
        <f t="array" ref="H15">(SUMPRODUCT('DCF Valuation'!$L$15:$U$15/(1+$C15)^(COLUMN('DCF Valuation'!$L$15:$U$15)-11-'DCF Valuation'!$F$11))+('DCF Valuation'!$U$15*(1+H$14)/($C15-H$14))/(1+$C15)^(10-'DCF Valuation'!$F$11)+'DCF Valuation'!$F$29+'DCF Valuation'!$F$30)*1000/'DCF Valuation'!$F$32</f>
        <v>483.66723643791664</v>
      </c>
      <c r="I15" s="375" t="n" cm="1">
        <f t="array" ref="I15">(SUMPRODUCT('DCF Valuation'!$L$15:$U$15/(1+$C15)^(COLUMN('DCF Valuation'!$L$15:$U$15)-11-'DCF Valuation'!$F$11))+('DCF Valuation'!$U$15*(1+I$14)/($C15-I$14))/(1+$C15)^(10-'DCF Valuation'!$F$11)+'DCF Valuation'!$F$29+'DCF Valuation'!$F$30)*1000/'DCF Valuation'!$F$32</f>
        <v>529.7961579184004</v>
      </c>
      <c r="J15" s="375" t="n" cm="1">
        <f t="array" ref="J15">(SUMPRODUCT('DCF Valuation'!$L$15:$U$15/(1+$C15)^(COLUMN('DCF Valuation'!$L$15:$U$15)-11-'DCF Valuation'!$F$11))+('DCF Valuation'!$U$15*(1+J$14)/($C15-J$14))/(1+$C15)^(10-'DCF Valuation'!$F$11)+'DCF Valuation'!$F$29+'DCF Valuation'!$F$30)*1000/'DCF Valuation'!$F$32</f>
        <v>588.4870625577965</v>
      </c>
      <c r="K15"/>
      <c r="L15"/>
      <c r="M15"/>
      <c r="N15"/>
      <c r="O15"/>
      <c r="P15"/>
      <c r="Q15"/>
      <c r="R15"/>
      <c r="S15"/>
      <c r="T15"/>
      <c r="U15"/>
      <c r="V15"/>
      <c r="W15"/>
      <c r="X15"/>
      <c r="Y15"/>
      <c r="Z15"/>
    </row>
    <row r="16" ht="15.75" customHeight="1">
      <c r="C16" s="378" t="n">
        <f t="shared" ref="C16:C21" si="1">$D$8+(ROW()-ROW($C$18))*$D$10</f>
        <v>0.05336052512447313</v>
      </c>
      <c r="D16" s="375" t="n" cm="1">
        <f t="array" ref="D16">(SUMPRODUCT('DCF Valuation'!$L$15:$U$15/(1+$C16)^(COLUMN('DCF Valuation'!$L$15:$U$15)-11-'DCF Valuation'!$F$11))+('DCF Valuation'!$U$15*(1+D$14)/($C16-D$14))/(1+$C16)^(10-'DCF Valuation'!$F$11)+'DCF Valuation'!$F$29+'DCF Valuation'!$F$30)*1000/'DCF Valuation'!$F$32</f>
        <v>344.54487347667407</v>
      </c>
      <c r="E16" s="375" t="n" cm="1">
        <f t="array" ref="E16">(SUMPRODUCT('DCF Valuation'!$L$15:$U$15/(1+$C16)^(COLUMN('DCF Valuation'!$L$15:$U$15)-11-'DCF Valuation'!$F$11))+('DCF Valuation'!$U$15*(1+E$14)/($C16-E$14))/(1+$C16)^(10-'DCF Valuation'!$F$11)+'DCF Valuation'!$F$29+'DCF Valuation'!$F$30)*1000/'DCF Valuation'!$F$32</f>
        <v>362.95919443679617</v>
      </c>
      <c r="F16" s="375" t="n" cm="1">
        <f t="array" ref="F16">(SUMPRODUCT('DCF Valuation'!$L$15:$U$15/(1+$C16)^(COLUMN('DCF Valuation'!$L$15:$U$15)-11-'DCF Valuation'!$F$11))+('DCF Valuation'!$U$15*(1+F$14)/($C16-F$14))/(1+$C16)^(10-'DCF Valuation'!$F$11)+'DCF Valuation'!$F$29+'DCF Valuation'!$F$30)*1000/'DCF Valuation'!$F$32</f>
        <v>384.35699038411474</v>
      </c>
      <c r="G16" s="375" t="n" cm="1">
        <f t="array" ref="G16">(SUMPRODUCT('DCF Valuation'!$L$15:$U$15/(1+$C16)^(COLUMN('DCF Valuation'!$L$15:$U$15)-11-'DCF Valuation'!$F$11))+('DCF Valuation'!$U$15*(1+G$14)/($C16-G$14))/(1+$C16)^(10-'DCF Valuation'!$F$11)+'DCF Valuation'!$F$29+'DCF Valuation'!$F$30)*1000/'DCF Valuation'!$F$32</f>
        <v>409.5272474994482</v>
      </c>
      <c r="H16" s="375" t="n" cm="1">
        <f t="array" ref="H16">(SUMPRODUCT('DCF Valuation'!$L$15:$U$15/(1+$C16)^(COLUMN('DCF Valuation'!$L$15:$U$15)-11-'DCF Valuation'!$F$11))+('DCF Valuation'!$U$15*(1+H$14)/($C16-H$14))/(1+$C16)^(10-'DCF Valuation'!$F$11)+'DCF Valuation'!$F$29+'DCF Valuation'!$F$30)*1000/'DCF Valuation'!$F$32</f>
        <v>439.564044832775</v>
      </c>
      <c r="I16" s="375" t="n" cm="1">
        <f t="array" ref="I16">(SUMPRODUCT('DCF Valuation'!$L$15:$U$15/(1+$C16)^(COLUMN('DCF Valuation'!$L$15:$U$15)-11-'DCF Valuation'!$F$11))+('DCF Valuation'!$U$15*(1+I$14)/($C16-I$14))/(1+$C16)^(10-'DCF Valuation'!$F$11)+'DCF Valuation'!$F$29+'DCF Valuation'!$F$30)*1000/'DCF Valuation'!$F$32</f>
        <v>476.02980666353477</v>
      </c>
      <c r="J16" s="375" t="n" cm="1">
        <f t="array" ref="J16">(SUMPRODUCT('DCF Valuation'!$L$15:$U$15/(1+$C16)^(COLUMN('DCF Valuation'!$L$15:$U$15)-11-'DCF Valuation'!$F$11))+('DCF Valuation'!$U$15*(1+J$14)/($C16-J$14))/(1+$C16)^(10-'DCF Valuation'!$F$11)+'DCF Valuation'!$F$29+'DCF Valuation'!$F$30)*1000/'DCF Valuation'!$F$32</f>
        <v>521.2359433442017</v>
      </c>
      <c r="K16"/>
      <c r="L16"/>
      <c r="M16"/>
      <c r="N16"/>
      <c r="O16"/>
      <c r="P16"/>
      <c r="Q16"/>
      <c r="R16"/>
      <c r="S16"/>
      <c r="T16"/>
      <c r="U16"/>
      <c r="V16"/>
      <c r="W16"/>
      <c r="X16"/>
      <c r="Y16"/>
      <c r="Z16"/>
    </row>
    <row r="17" ht="15.75" customHeight="1">
      <c r="C17" s="378">
        <f t="shared" si="1"/>
        <v>5.5860525124473127E-2</v>
      </c>
      <c r="D17" s="375" t="n" cm="1">
        <f t="array" ref="D17">(SUMPRODUCT('DCF Valuation'!$L$15:$U$15/(1+$C17)^(COLUMN('DCF Valuation'!$L$15:$U$15)-11-'DCF Valuation'!$F$11))+('DCF Valuation'!$U$15*(1+D$14)/($C17-D$14))/(1+$C17)^(10-'DCF Valuation'!$F$11)+'DCF Valuation'!$F$29+'DCF Valuation'!$F$30)*1000/'DCF Valuation'!$F$32</f>
        <v>324.00449993300106</v>
      </c>
      <c r="E17" s="375" t="n" cm="1">
        <f t="array" ref="E17">(SUMPRODUCT('DCF Valuation'!$L$15:$U$15/(1+$C17)^(COLUMN('DCF Valuation'!$L$15:$U$15)-11-'DCF Valuation'!$F$11))+('DCF Valuation'!$U$15*(1+E$14)/($C17-E$14))/(1+$C17)^(10-'DCF Valuation'!$F$11)+'DCF Valuation'!$F$29+'DCF Valuation'!$F$30)*1000/'DCF Valuation'!$F$32</f>
        <v>339.69905253321355</v>
      </c>
      <c r="F17" s="375" t="n" cm="1">
        <f t="array" ref="F17">(SUMPRODUCT('DCF Valuation'!$L$15:$U$15/(1+$C17)^(COLUMN('DCF Valuation'!$L$15:$U$15)-11-'DCF Valuation'!$F$11))+('DCF Valuation'!$U$15*(1+F$14)/($C17-F$14))/(1+$C17)^(10-'DCF Valuation'!$F$11)+'DCF Valuation'!$F$29+'DCF Valuation'!$F$30)*1000/'DCF Valuation'!$F$32</f>
        <v>357.7458691552983</v>
      </c>
      <c r="G17" s="375" t="n" cm="1">
        <f t="array" ref="G17">(SUMPRODUCT('DCF Valuation'!$L$15:$U$15/(1+$C17)^(COLUMN('DCF Valuation'!$L$15:$U$15)-11-'DCF Valuation'!$F$11))+('DCF Valuation'!$U$15*(1+G$14)/($C17-G$14))/(1+$C17)^(10-'DCF Valuation'!$F$11)+'DCF Valuation'!$F$29+'DCF Valuation'!$F$30)*1000/'DCF Valuation'!$F$32</f>
        <v>378.7166179770613</v>
      </c>
      <c r="H17" s="375" t="n" cm="1">
        <f t="array" ref="H17">(SUMPRODUCT('DCF Valuation'!$L$15:$U$15/(1+$C17)^(COLUMN('DCF Valuation'!$L$15:$U$15)-11-'DCF Valuation'!$F$11))+('DCF Valuation'!$U$15*(1+H$14)/($C17-H$14))/(1+$C17)^(10-'DCF Valuation'!$F$11)+'DCF Valuation'!$F$29+'DCF Valuation'!$F$30)*1000/'DCF Valuation'!$F$32</f>
        <v>403.3845389650171</v>
      </c>
      <c r="I17" s="375" t="n" cm="1">
        <f t="array" ref="I17">(SUMPRODUCT('DCF Valuation'!$L$15:$U$15/(1+$C17)^(COLUMN('DCF Valuation'!$L$15:$U$15)-11-'DCF Valuation'!$F$11))+('DCF Valuation'!$U$15*(1+I$14)/($C17-I$14))/(1+$C17)^(10-'DCF Valuation'!$F$11)+'DCF Valuation'!$F$29+'DCF Valuation'!$F$30)*1000/'DCF Valuation'!$F$32</f>
        <v>432.821876055164</v>
      </c>
      <c r="J17" s="375" t="n" cm="1">
        <f t="array" ref="J17">(SUMPRODUCT('DCF Valuation'!$L$15:$U$15/(1+$C17)^(COLUMN('DCF Valuation'!$L$15:$U$15)-11-'DCF Valuation'!$F$11))+('DCF Valuation'!$U$15*(1+J$14)/($C17-J$14))/(1+$C17)^(10-'DCF Valuation'!$F$11)+'DCF Valuation'!$F$29+'DCF Valuation'!$F$30)*1000/'DCF Valuation'!$F$32</f>
        <v>468.55987139962974</v>
      </c>
      <c r="K17"/>
      <c r="L17"/>
      <c r="M17"/>
      <c r="N17"/>
      <c r="O17"/>
      <c r="P17"/>
      <c r="Q17"/>
      <c r="R17"/>
      <c r="S17"/>
      <c r="T17"/>
      <c r="U17"/>
      <c r="V17"/>
      <c r="W17"/>
      <c r="X17"/>
      <c r="Y17"/>
      <c r="Z17"/>
    </row>
    <row r="18">
      <c r="C18" s="378">
        <f t="shared" si="1"/>
        <v>5.836052512447313E-2</v>
      </c>
      <c r="D18" s="375" t="n" cm="1">
        <f t="array" ref="D18">(SUMPRODUCT('DCF Valuation'!$L$15:$U$15/(1+$C18)^(COLUMN('DCF Valuation'!$L$15:$U$15)-11-'DCF Valuation'!$F$11))+('DCF Valuation'!$U$15*(1+D$14)/($C18-D$14))/(1+$C18)^(10-'DCF Valuation'!$F$11)+'DCF Valuation'!$F$29+'DCF Valuation'!$F$30)*1000/'DCF Valuation'!$F$32</f>
        <v>306.07637577587985</v>
      </c>
      <c r="E18" s="375" t="n" cm="1">
        <f t="array" ref="E18">(SUMPRODUCT('DCF Valuation'!$L$15:$U$15/(1+$C18)^(COLUMN('DCF Valuation'!$L$15:$U$15)-11-'DCF Valuation'!$F$11))+('DCF Valuation'!$U$15*(1+E$14)/($C18-E$14))/(1+$C18)^(10-'DCF Valuation'!$F$11)+'DCF Valuation'!$F$29+'DCF Valuation'!$F$30)*1000/'DCF Valuation'!$F$32</f>
        <v>319.5761729374242</v>
      </c>
      <c r="F18" s="375" t="n" cm="1">
        <f t="array" ref="F18">(SUMPRODUCT('DCF Valuation'!$L$15:$U$15/(1+$C18)^(COLUMN('DCF Valuation'!$L$15:$U$15)-11-'DCF Valuation'!$F$11))+('DCF Valuation'!$U$15*(1+F$14)/($C18-F$14))/(1+$C18)^(10-'DCF Valuation'!$F$11)+'DCF Valuation'!$F$29+'DCF Valuation'!$F$30)*1000/'DCF Valuation'!$F$32</f>
        <v>334.9582343874427</v>
      </c>
      <c r="G18" s="376" t="n" cm="1">
        <f t="array" ref="G18">(SUMPRODUCT('DCF Valuation'!$L$15:$U$15/(1+$C18)^(COLUMN('DCF Valuation'!$L$15:$U$15)-11-'DCF Valuation'!$F$11))+('DCF Valuation'!$U$15*(1+G$14)/($C18-G$14))/(1+$C18)^(10-'DCF Valuation'!$F$11)+'DCF Valuation'!$F$29+'DCF Valuation'!$F$30)*1000/'DCF Valuation'!$F$32</f>
        <v>352.6457243930108</v>
      </c>
      <c r="H18" s="375" t="n" cm="1">
        <f t="array" ref="H18">(SUMPRODUCT('DCF Valuation'!$L$15:$U$15/(1+$C18)^(COLUMN('DCF Valuation'!$L$15:$U$15)-11-'DCF Valuation'!$F$11))+('DCF Valuation'!$U$15*(1+H$14)/($C18-H$14))/(1+$C18)^(10-'DCF Valuation'!$F$11)+'DCF Valuation'!$F$29+'DCF Valuation'!$F$30)*1000/'DCF Valuation'!$F$32</f>
        <v>373.1989287592756</v>
      </c>
      <c r="I18" s="375" t="n" cm="1">
        <f t="array" ref="I18">(SUMPRODUCT('DCF Valuation'!$L$15:$U$15/(1+$C18)^(COLUMN('DCF Valuation'!$L$15:$U$15)-11-'DCF Valuation'!$F$11))+('DCF Valuation'!$U$15*(1+I$14)/($C18-I$14))/(1+$C18)^(10-'DCF Valuation'!$F$11)+'DCF Valuation'!$F$29+'DCF Valuation'!$F$30)*1000/'DCF Valuation'!$F$32</f>
        <v>397.3756916238504</v>
      </c>
      <c r="J18" s="375" t="n" cm="1">
        <f t="array" ref="J18">(SUMPRODUCT('DCF Valuation'!$L$15:$U$15/(1+$C18)^(COLUMN('DCF Valuation'!$L$15:$U$15)-11-'DCF Valuation'!$F$11))+('DCF Valuation'!$U$15*(1+J$14)/($C18-J$14))/(1+$C18)^(10-'DCF Valuation'!$F$11)+'DCF Valuation'!$F$29+'DCF Valuation'!$F$30)*1000/'DCF Valuation'!$F$32</f>
        <v>426.226907684601</v>
      </c>
      <c r="K18"/>
      <c r="L18"/>
      <c r="M18"/>
      <c r="N18"/>
      <c r="O18"/>
      <c r="P18"/>
      <c r="Q18"/>
      <c r="R18"/>
      <c r="S18"/>
      <c r="T18"/>
      <c r="U18"/>
      <c r="V18"/>
      <c r="W18"/>
      <c r="X18"/>
      <c r="Y18"/>
      <c r="Z18"/>
    </row>
    <row r="19" ht="15.75" customHeight="1">
      <c r="C19" s="378">
        <f t="shared" si="1"/>
        <v>6.0860525124473132E-2</v>
      </c>
      <c r="D19" s="375" t="n" cm="1">
        <f t="array" ref="D19">(SUMPRODUCT('DCF Valuation'!$L$15:$U$15/(1+$C19)^(COLUMN('DCF Valuation'!$L$15:$U$15)-11-'DCF Valuation'!$F$11))+('DCF Valuation'!$U$15*(1+D$14)/($C19-D$14))/(1+$C19)^(10-'DCF Valuation'!$F$11)+'DCF Valuation'!$F$29+'DCF Valuation'!$F$30)*1000/'DCF Valuation'!$F$32</f>
        <v>290.30585722142246</v>
      </c>
      <c r="E19" s="375" t="n" cm="1">
        <f t="array" ref="E19">(SUMPRODUCT('DCF Valuation'!$L$15:$U$15/(1+$C19)^(COLUMN('DCF Valuation'!$L$15:$U$15)-11-'DCF Valuation'!$F$11))+('DCF Valuation'!$U$15*(1+E$14)/($C19-E$14))/(1+$C19)^(10-'DCF Valuation'!$F$11)+'DCF Valuation'!$F$29+'DCF Valuation'!$F$30)*1000/'DCF Valuation'!$F$32</f>
        <v>302.01172093039656</v>
      </c>
      <c r="F19" s="375" t="n" cm="1">
        <f t="array" ref="F19">(SUMPRODUCT('DCF Valuation'!$L$15:$U$15/(1+$C19)^(COLUMN('DCF Valuation'!$L$15:$U$15)-11-'DCF Valuation'!$F$11))+('DCF Valuation'!$U$15*(1+F$14)/($C19-F$14))/(1+$C19)^(10-'DCF Valuation'!$F$11)+'DCF Valuation'!$F$29+'DCF Valuation'!$F$30)*1000/'DCF Valuation'!$F$32</f>
        <v>315.2433541212784</v>
      </c>
      <c r="G19" s="375" t="n" cm="1">
        <f t="array" ref="G19">(SUMPRODUCT('DCF Valuation'!$L$15:$U$15/(1+$C19)^(COLUMN('DCF Valuation'!$L$15:$U$15)-11-'DCF Valuation'!$F$11))+('DCF Valuation'!$U$15*(1+G$14)/($C19-G$14))/(1+$C19)^(10-'DCF Valuation'!$F$11)+'DCF Valuation'!$F$29+'DCF Valuation'!$F$30)*1000/'DCF Valuation'!$F$32</f>
        <v>330.31986174511326</v>
      </c>
      <c r="H19" s="375" t="n" cm="1">
        <f t="array" ref="H19">(SUMPRODUCT('DCF Valuation'!$L$15:$U$15/(1+$C19)^(COLUMN('DCF Valuation'!$L$15:$U$15)-11-'DCF Valuation'!$F$11))+('DCF Valuation'!$U$15*(1+H$14)/($C19-H$14))/(1+$C19)^(10-'DCF Valuation'!$F$11)+'DCF Valuation'!$F$29+'DCF Valuation'!$F$30)*1000/'DCF Valuation'!$F$32</f>
        <v>347.65600220859653</v>
      </c>
      <c r="I19" s="375" t="n" cm="1">
        <f t="array" ref="I19">(SUMPRODUCT('DCF Valuation'!$L$15:$U$15/(1+$C19)^(COLUMN('DCF Valuation'!$L$15:$U$15)-11-'DCF Valuation'!$F$11))+('DCF Valuation'!$U$15*(1+I$14)/($C19-I$14))/(1+$C19)^(10-'DCF Valuation'!$F$11)+'DCF Valuation'!$F$29+'DCF Valuation'!$F$30)*1000/'DCF Valuation'!$F$32</f>
        <v>367.8009316336349</v>
      </c>
      <c r="J19" s="375" t="n" cm="1">
        <f t="array" ref="J19">(SUMPRODUCT('DCF Valuation'!$L$15:$U$15/(1+$C19)^(COLUMN('DCF Valuation'!$L$15:$U$15)-11-'DCF Valuation'!$F$11))+('DCF Valuation'!$U$15*(1+J$14)/($C19-J$14))/(1+$C19)^(10-'DCF Valuation'!$F$11)+'DCF Valuation'!$F$29+'DCF Valuation'!$F$30)*1000/'DCF Valuation'!$F$32</f>
        <v>391.49744011735123</v>
      </c>
      <c r="K19"/>
      <c r="L19"/>
      <c r="M19"/>
      <c r="N19"/>
      <c r="O19"/>
      <c r="P19"/>
      <c r="Q19"/>
      <c r="R19"/>
      <c r="S19"/>
      <c r="T19"/>
      <c r="U19"/>
      <c r="V19"/>
      <c r="W19"/>
      <c r="X19"/>
      <c r="Y19"/>
      <c r="Z19"/>
    </row>
    <row r="20" ht="15.75" customHeight="1">
      <c r="C20" s="378">
        <f t="shared" si="1"/>
        <v>6.3360525124473127E-2</v>
      </c>
      <c r="D20" s="375" t="n" cm="1">
        <f t="array" ref="D20">(SUMPRODUCT('DCF Valuation'!$L$15:$U$15/(1+$C20)^(COLUMN('DCF Valuation'!$L$15:$U$15)-11-'DCF Valuation'!$F$11))+('DCF Valuation'!$U$15*(1+D$14)/($C20-D$14))/(1+$C20)^(10-'DCF Valuation'!$F$11)+'DCF Valuation'!$F$29+'DCF Valuation'!$F$30)*1000/'DCF Valuation'!$F$32</f>
        <v>276.3375154585818</v>
      </c>
      <c r="E20" s="375" t="n" cm="1">
        <f t="array" ref="E20">(SUMPRODUCT('DCF Valuation'!$L$15:$U$15/(1+$C20)^(COLUMN('DCF Valuation'!$L$15:$U$15)-11-'DCF Valuation'!$F$11))+('DCF Valuation'!$U$15*(1+E$14)/($C20-E$14))/(1+$C20)^(10-'DCF Valuation'!$F$11)+'DCF Valuation'!$F$29+'DCF Valuation'!$F$30)*1000/'DCF Valuation'!$F$32</f>
        <v>286.56043879602095</v>
      </c>
      <c r="F20" s="375" t="n" cm="1">
        <f t="array" ref="F20">(SUMPRODUCT('DCF Valuation'!$L$15:$U$15/(1+$C20)^(COLUMN('DCF Valuation'!$L$15:$U$15)-11-'DCF Valuation'!$F$11))+('DCF Valuation'!$U$15*(1+F$14)/($C20-F$14))/(1+$C20)^(10-'DCF Valuation'!$F$11)+'DCF Valuation'!$F$29+'DCF Valuation'!$F$30)*1000/'DCF Valuation'!$F$32</f>
        <v>298.0343156278532</v>
      </c>
      <c r="G20" s="375" t="n" cm="1">
        <f t="array" ref="G20">(SUMPRODUCT('DCF Valuation'!$L$15:$U$15/(1+$C20)^(COLUMN('DCF Valuation'!$L$15:$U$15)-11-'DCF Valuation'!$F$11))+('DCF Valuation'!$U$15*(1+G$14)/($C20-G$14))/(1+$C20)^(10-'DCF Valuation'!$F$11)+'DCF Valuation'!$F$29+'DCF Valuation'!$F$30)*1000/'DCF Valuation'!$F$32</f>
        <v>311.00372423285603</v>
      </c>
      <c r="H20" s="375" t="n" cm="1">
        <f t="array" ref="H20">(SUMPRODUCT('DCF Valuation'!$L$15:$U$15/(1+$C20)^(COLUMN('DCF Valuation'!$L$15:$U$15)-11-'DCF Valuation'!$F$11))+('DCF Valuation'!$U$15*(1+H$14)/($C20-H$14))/(1+$C20)^(10-'DCF Valuation'!$F$11)+'DCF Valuation'!$F$29+'DCF Valuation'!$F$30)*1000/'DCF Valuation'!$F$32</f>
        <v>325.7814455382427</v>
      </c>
      <c r="I20" s="375" t="n" cm="1">
        <f t="array" ref="I20">(SUMPRODUCT('DCF Valuation'!$L$15:$U$15/(1+$C20)^(COLUMN('DCF Valuation'!$L$15:$U$15)-11-'DCF Valuation'!$F$11))+('DCF Valuation'!$U$15*(1+I$14)/($C20-I$14))/(1+$C20)^(10-'DCF Valuation'!$F$11)+'DCF Valuation'!$F$29+'DCF Valuation'!$F$30)*1000/'DCF Valuation'!$F$32</f>
        <v>342.77401826611873</v>
      </c>
      <c r="J20" s="375" t="n" cm="1">
        <f t="array" ref="J20">(SUMPRODUCT('DCF Valuation'!$L$15:$U$15/(1+$C20)^(COLUMN('DCF Valuation'!$L$15:$U$15)-11-'DCF Valuation'!$F$11))+('DCF Valuation'!$U$15*(1+J$14)/($C20-J$14))/(1+$C20)^(10-'DCF Valuation'!$F$11)+'DCF Valuation'!$F$29+'DCF Valuation'!$F$30)*1000/'DCF Valuation'!$F$32</f>
        <v>362.51971535907575</v>
      </c>
      <c r="K20"/>
      <c r="L20"/>
      <c r="M20"/>
      <c r="N20"/>
      <c r="O20"/>
      <c r="P20"/>
      <c r="Q20"/>
      <c r="R20"/>
      <c r="S20"/>
      <c r="T20"/>
      <c r="U20"/>
      <c r="V20"/>
      <c r="W20"/>
      <c r="X20"/>
      <c r="Y20"/>
      <c r="Z20"/>
    </row>
    <row r="21" ht="15.75" customHeight="1">
      <c r="C21" s="378">
        <f t="shared" si="1"/>
        <v>6.5860525124473129E-2</v>
      </c>
      <c r="D21" s="375" t="n" cm="1">
        <f t="array" ref="D21">(SUMPRODUCT('DCF Valuation'!$L$15:$U$15/(1+$C21)^(COLUMN('DCF Valuation'!$L$15:$U$15)-11-'DCF Valuation'!$F$11))+('DCF Valuation'!$U$15*(1+D$14)/($C21-D$14))/(1+$C21)^(10-'DCF Valuation'!$F$11)+'DCF Valuation'!$F$29+'DCF Valuation'!$F$30)*1000/'DCF Valuation'!$F$32</f>
        <v>263.8894896777264</v>
      </c>
      <c r="E21" s="375" t="n" cm="1">
        <f t="array" ref="E21">(SUMPRODUCT('DCF Valuation'!$L$15:$U$15/(1+$C21)^(COLUMN('DCF Valuation'!$L$15:$U$15)-11-'DCF Valuation'!$F$11))+('DCF Valuation'!$U$15*(1+E$14)/($C21-E$14))/(1+$C21)^(10-'DCF Valuation'!$F$11)+'DCF Valuation'!$F$29+'DCF Valuation'!$F$30)*1000/'DCF Valuation'!$F$32</f>
        <v>272.87423484113754</v>
      </c>
      <c r="F21" s="375" t="n" cm="1">
        <f t="array" ref="F21">(SUMPRODUCT('DCF Valuation'!$L$15:$U$15/(1+$C21)^(COLUMN('DCF Valuation'!$L$15:$U$15)-11-'DCF Valuation'!$F$11))+('DCF Valuation'!$U$15*(1+F$14)/($C21-F$14))/(1+$C21)^(10-'DCF Valuation'!$F$11)+'DCF Valuation'!$F$29+'DCF Valuation'!$F$30)*1000/'DCF Valuation'!$F$32</f>
        <v>282.8950312444286</v>
      </c>
      <c r="G21" s="375" t="n" cm="1">
        <f t="array" ref="G21">(SUMPRODUCT('DCF Valuation'!$L$15:$U$15/(1+$C21)^(COLUMN('DCF Valuation'!$L$15:$U$15)-11-'DCF Valuation'!$F$11))+('DCF Valuation'!$U$15*(1+G$14)/($C21-G$14))/(1+$C21)^(10-'DCF Valuation'!$F$11)+'DCF Valuation'!$F$29+'DCF Valuation'!$F$30)*1000/'DCF Valuation'!$F$32</f>
        <v>294.14204737602273</v>
      </c>
      <c r="H21" s="375" t="n" cm="1">
        <f t="array" ref="H21">(SUMPRODUCT('DCF Valuation'!$L$15:$U$15/(1+$C21)^(COLUMN('DCF Valuation'!$L$15:$U$15)-11-'DCF Valuation'!$F$11))+('DCF Valuation'!$U$15*(1+H$14)/($C21-H$14))/(1+$C21)^(10-'DCF Valuation'!$F$11)+'DCF Valuation'!$F$29+'DCF Valuation'!$F$30)*1000/'DCF Valuation'!$F$32</f>
        <v>306.8550257298623</v>
      </c>
      <c r="I21" s="375" t="n" cm="1">
        <f t="array" ref="I21">(SUMPRODUCT('DCF Valuation'!$L$15:$U$15/(1+$C21)^(COLUMN('DCF Valuation'!$L$15:$U$15)-11-'DCF Valuation'!$F$11))+('DCF Valuation'!$U$15*(1+I$14)/($C21-I$14))/(1+$C21)^(10-'DCF Valuation'!$F$11)+'DCF Valuation'!$F$29+'DCF Valuation'!$F$30)*1000/'DCF Valuation'!$F$32</f>
        <v>321.3405629502707</v>
      </c>
      <c r="J21" s="375" t="n" cm="1">
        <f t="array" ref="J21">(SUMPRODUCT('DCF Valuation'!$L$15:$U$15/(1+$C21)^(COLUMN('DCF Valuation'!$L$15:$U$15)-11-'DCF Valuation'!$F$11))+('DCF Valuation'!$U$15*(1+J$14)/($C21-J$14))/(1+$C21)^(10-'DCF Valuation'!$F$11)+'DCF Valuation'!$F$29+'DCF Valuation'!$F$30)*1000/'DCF Valuation'!$F$32</f>
        <v>337.99715970381897</v>
      </c>
      <c r="K21"/>
      <c r="L21"/>
      <c r="M21"/>
      <c r="N21"/>
      <c r="O21"/>
      <c r="P21"/>
      <c r="Q21"/>
      <c r="R21"/>
      <c r="S21"/>
      <c r="T21"/>
      <c r="U21"/>
      <c r="V21"/>
      <c r="W21"/>
      <c r="X21"/>
      <c r="Y21"/>
      <c r="Z21"/>
    </row>
    <row r="22" ht="15.75" customHeight="1">
      <c r="G22"/>
      <c r="H22"/>
      <c r="I22"/>
      <c r="J22"/>
      <c r="K22"/>
      <c r="L22"/>
      <c r="M22"/>
      <c r="N22"/>
      <c r="O22"/>
      <c r="P22"/>
      <c r="Q22"/>
      <c r="R22"/>
      <c r="S22"/>
      <c r="T22"/>
      <c r="U22"/>
      <c r="V22"/>
      <c r="W22"/>
      <c r="X22"/>
      <c r="Y22"/>
      <c r="Z22"/>
    </row>
    <row r="23" ht="15.75" customHeight="1">
      <c r="C23" s="262" t="s">
        <v>518</v>
      </c>
      <c r="D23" s="263"/>
      <c r="E23"/>
      <c r="F23"/>
      <c r="G23"/>
      <c r="H23"/>
      <c r="I23"/>
      <c r="J23"/>
      <c r="K23"/>
      <c r="L23"/>
      <c r="M23"/>
      <c r="N23"/>
      <c r="O23"/>
      <c r="P23"/>
      <c r="Q23"/>
      <c r="R23"/>
      <c r="S23"/>
      <c r="T23"/>
      <c r="U23"/>
      <c r="V23"/>
      <c r="W23"/>
      <c r="X23"/>
      <c r="Y23"/>
      <c r="Z23"/>
    </row>
    <row r="24" ht="15.75" customHeight="1">
      <c r="C24" s="264" t="s">
        <v>519</v>
      </c>
      <c r="D24" s="265" t="s">
        <v>520</v>
      </c>
      <c r="E24" s="266" t="s">
        <v>521</v>
      </c>
      <c r="F24" s="267" t="s">
        <v>522</v>
      </c>
      <c r="G24" s="268" t="s">
        <v>523</v>
      </c>
      <c r="H24" s="269" t="s">
        <v>524</v>
      </c>
      <c r="I24" s="270" t="s">
        <v>525</v>
      </c>
      <c r="J24" s="271" t="s">
        <v>526</v>
      </c>
      <c r="K24" s="272" t="s">
        <v>527</v>
      </c>
      <c r="L24" s="273" t="s">
        <v>528</v>
      </c>
      <c r="M24" s="274" t="s">
        <v>529</v>
      </c>
      <c r="N24"/>
      <c r="O24"/>
      <c r="P24"/>
      <c r="Q24"/>
      <c r="R24"/>
      <c r="S24"/>
      <c r="T24"/>
      <c r="U24"/>
      <c r="V24"/>
      <c r="W24"/>
      <c r="X24"/>
      <c r="Y24"/>
      <c r="Z24"/>
    </row>
    <row r="25" ht="15.75" customHeight="1">
      <c r="D25" s="275"/>
      <c r="E25"/>
      <c r="F25"/>
      <c r="G25"/>
      <c r="H25"/>
      <c r="I25"/>
      <c r="J25"/>
      <c r="K25"/>
      <c r="L25"/>
      <c r="M25"/>
      <c r="N25"/>
      <c r="O25"/>
      <c r="P25"/>
      <c r="Q25"/>
      <c r="R25"/>
      <c r="S25"/>
      <c r="T25"/>
      <c r="U25"/>
      <c r="V25"/>
      <c r="W25"/>
      <c r="X25"/>
      <c r="Y25"/>
      <c r="Z25"/>
    </row>
    <row r="26" ht="15.75" customHeight="1">
      <c r="D26" s="276"/>
      <c r="G26"/>
      <c r="H26"/>
      <c r="I26"/>
      <c r="J26"/>
      <c r="K26"/>
      <c r="L26"/>
      <c r="M26"/>
      <c r="N26"/>
      <c r="O26"/>
      <c r="P26"/>
      <c r="Q26"/>
      <c r="R26"/>
      <c r="S26"/>
      <c r="T26"/>
      <c r="U26"/>
      <c r="V26"/>
      <c r="W26"/>
      <c r="X26"/>
      <c r="Y26"/>
      <c r="Z26"/>
    </row>
    <row r="27" ht="15.75" customHeight="1">
      <c r="F27"/>
      <c r="G27"/>
      <c r="H27"/>
      <c r="I27"/>
      <c r="J27"/>
      <c r="K27"/>
      <c r="L27"/>
      <c r="M27"/>
      <c r="N27"/>
      <c r="O27"/>
      <c r="P27"/>
      <c r="Q27"/>
      <c r="R27"/>
      <c r="S27"/>
      <c r="T27"/>
      <c r="U27"/>
      <c r="V27"/>
      <c r="W27"/>
      <c r="X27"/>
      <c r="Y27"/>
      <c r="Z27"/>
    </row>
    <row r="28" ht="15.75" customHeight="1">
      <c r="F28"/>
      <c r="G28"/>
      <c r="H28"/>
      <c r="I28"/>
      <c r="J28"/>
      <c r="K28"/>
      <c r="L28"/>
      <c r="M28"/>
      <c r="N28"/>
      <c r="O28"/>
      <c r="P28"/>
      <c r="Q28"/>
      <c r="R28"/>
      <c r="S28"/>
      <c r="T28"/>
      <c r="U28"/>
      <c r="V28"/>
      <c r="W28"/>
      <c r="X28"/>
      <c r="Y28"/>
      <c r="Z28"/>
    </row>
    <row r="29" ht="15.75" customHeight="1">
      <c r="F29"/>
      <c r="G29"/>
      <c r="H29"/>
      <c r="I29"/>
      <c r="J29"/>
      <c r="K29"/>
      <c r="L29"/>
      <c r="M29"/>
      <c r="N29"/>
      <c r="O29"/>
      <c r="P29"/>
      <c r="Q29"/>
      <c r="R29"/>
      <c r="S29"/>
      <c r="T29"/>
      <c r="U29"/>
      <c r="V29"/>
      <c r="W29"/>
      <c r="X29"/>
      <c r="Y29"/>
      <c r="Z29"/>
    </row>
    <row r="30" ht="15.75" customHeight="1">
      <c r="F30"/>
      <c r="G30"/>
      <c r="H30"/>
      <c r="I30"/>
      <c r="J30"/>
      <c r="K30"/>
      <c r="L30"/>
      <c r="M30"/>
      <c r="N30"/>
      <c r="O30"/>
      <c r="P30"/>
      <c r="Q30"/>
      <c r="R30"/>
      <c r="S30"/>
      <c r="T30"/>
      <c r="U30"/>
      <c r="V30"/>
      <c r="W30"/>
      <c r="X30"/>
      <c r="Y30"/>
      <c r="Z30"/>
    </row>
    <row r="31" ht="15.75" customHeight="1">
      <c r="F31"/>
      <c r="G31"/>
      <c r="H31"/>
      <c r="I31"/>
      <c r="J31"/>
      <c r="K31"/>
      <c r="L31"/>
      <c r="M31"/>
      <c r="N31"/>
      <c r="O31"/>
      <c r="P31"/>
      <c r="Q31"/>
      <c r="R31"/>
      <c r="S31"/>
      <c r="T31"/>
      <c r="U31"/>
      <c r="V31"/>
      <c r="W31"/>
      <c r="X31"/>
      <c r="Y31"/>
      <c r="Z31"/>
    </row>
    <row r="32" ht="15.75" customHeight="1">
      <c r="F32"/>
      <c r="G32"/>
      <c r="H32"/>
      <c r="I32"/>
      <c r="J32"/>
      <c r="K32"/>
      <c r="L32"/>
      <c r="M32"/>
      <c r="N32"/>
      <c r="O32"/>
      <c r="P32"/>
      <c r="Q32"/>
      <c r="R32"/>
      <c r="S32"/>
      <c r="T32"/>
      <c r="U32"/>
      <c r="V32"/>
      <c r="W32"/>
      <c r="X32"/>
      <c r="Y32"/>
      <c r="Z32"/>
    </row>
    <row r="33" ht="15.75" customHeight="1">
      <c r="F33"/>
      <c r="G33"/>
      <c r="H33"/>
      <c r="I33"/>
      <c r="J33"/>
      <c r="K33"/>
      <c r="L33"/>
      <c r="M33"/>
      <c r="N33"/>
      <c r="O33"/>
      <c r="P33"/>
      <c r="Q33"/>
      <c r="R33"/>
      <c r="S33"/>
      <c r="T33"/>
      <c r="U33"/>
      <c r="V33"/>
      <c r="W33"/>
      <c r="X33"/>
      <c r="Y33"/>
      <c r="Z33"/>
    </row>
    <row r="34" ht="15.75" customHeight="1">
      <c r="F34"/>
      <c r="G34"/>
      <c r="H34"/>
      <c r="I34"/>
      <c r="J34"/>
      <c r="K34"/>
      <c r="L34"/>
      <c r="M34"/>
      <c r="N34"/>
      <c r="O34"/>
      <c r="P34"/>
      <c r="Q34"/>
      <c r="R34"/>
      <c r="S34"/>
      <c r="T34"/>
      <c r="U34"/>
      <c r="V34"/>
      <c r="W34"/>
      <c r="X34"/>
      <c r="Y34"/>
      <c r="Z34"/>
    </row>
    <row r="35">
      <c r="F35"/>
      <c r="G35"/>
      <c r="H35"/>
      <c r="I35"/>
      <c r="J35"/>
      <c r="K35"/>
      <c r="L35"/>
      <c r="M35"/>
      <c r="N35"/>
      <c r="O35"/>
      <c r="P35"/>
      <c r="Q35"/>
      <c r="R35"/>
      <c r="S35"/>
      <c r="T35"/>
      <c r="U35"/>
      <c r="V35"/>
      <c r="W35"/>
      <c r="X35"/>
      <c r="Y35"/>
      <c r="Z35"/>
    </row>
  </sheetData>
  <mergeCells>
    <mergeCell ref="B7:C7"/>
    <mergeCell ref="A1:Z3"/>
    <mergeCell ref="A4:G4"/>
    <mergeCell ref="H4:N4"/>
    <mergeCell ref="O4:Z4"/>
    <mergeCell ref="A5:Z5"/>
  </mergeCells>
  <conditionalFormatting sqref="D15:J21">
    <cfRule type="expression" dxfId="10" priority="1" stopIfTrue="1">
      <formula>ABS(D15-$D$12)/$D$12&lt;=0.015</formula>
    </cfRule>
    <cfRule type="expression" dxfId="9" priority="2" stopIfTrue="1">
      <formula>ABS(D15-$D$12)/$D$12&lt;=0.03</formula>
    </cfRule>
    <cfRule type="expression" dxfId="8" priority="3" stopIfTrue="1">
      <formula>ABS(D15-$D$12)/$D$12&lt;=0.045</formula>
    </cfRule>
    <cfRule type="expression" dxfId="7" priority="4" stopIfTrue="1">
      <formula>ABS(D15-$D$12)/$D$12&lt;=0.06</formula>
    </cfRule>
    <cfRule type="expression" dxfId="6" priority="5" stopIfTrue="1">
      <formula>ABS(D15-$D$12)/$D$12&lt;=0.08</formula>
    </cfRule>
    <cfRule type="expression" dxfId="5" priority="6" stopIfTrue="1">
      <formula>ABS(D15-$D$12)/$D$12&lt;=0.1</formula>
    </cfRule>
    <cfRule type="expression" dxfId="4" priority="7" stopIfTrue="1">
      <formula>ABS(D15-$D$12)/$D$12&lt;=0.125</formula>
    </cfRule>
    <cfRule type="expression" dxfId="3" priority="8" stopIfTrue="1">
      <formula>ABS(D15-$D$12)/$D$12&lt;=0.15</formula>
    </cfRule>
    <cfRule type="expression" dxfId="2" priority="9" stopIfTrue="1">
      <formula>ABS(D15-$D$12)/$D$12&lt;=0.175</formula>
    </cfRule>
    <cfRule type="expression" dxfId="1" priority="10" stopIfTrue="1">
      <formula>ABS(D15-$D$12)/$D$12&lt;=0.2</formula>
    </cfRule>
    <cfRule type="expression" dxfId="0" priority="11" stopIfTrue="1">
      <formula>TRUE</formula>
    </cfRule>
  </conditionalFormatting>
  <pageMargins left="0.7" right="0.7" top="0.75" bottom="0.75" header="0.3" footer="0.3"/>
  <drawing r:id="Rce3acab040cd4d2f"/>
</worksheet>
</file>

<file path=xl/worksheets/sheet22.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3" width="26" style="11" customWidth="1"/>
    <col min="4" max="4" width="13.6640625" style="11" customWidth="1"/>
    <col min="5" max="5" width="11.5" style="11" customWidth="1"/>
    <col min="6" max="6" width="13" style="11" customWidth="1"/>
    <col min="7" max="7" width="13.33203125" style="11" customWidth="1"/>
    <col min="8" max="8" width="19.83203125" style="11" customWidth="1"/>
    <col min="9" max="9" width="20" style="11" customWidth="1"/>
    <col min="10" max="11" width="13" style="11" customWidth="1"/>
    <col min="12" max="12" width="13.6640625" style="11" customWidth="1"/>
    <col min="13" max="13" width="13" style="11" customWidth="1"/>
    <col min="14" max="14" width="22.33203125" style="11" customWidth="1"/>
    <col min="15" max="26" width="13" style="11" customWidth="1"/>
  </cols>
  <sheetData>
    <row r="1" ht="15.75" customHeight="1">
      <c r="A1" s="318" t="s">
        <v>530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ht="4.5" customHeight="1">
      <c r="A4" s="308"/>
      <c r="B4" s="308"/>
      <c r="C4" s="308"/>
      <c r="D4" s="308"/>
      <c r="E4" s="308"/>
      <c r="F4" s="308"/>
      <c r="G4" s="308"/>
      <c r="H4" s="294"/>
      <c r="I4" s="294"/>
      <c r="J4" s="294"/>
      <c r="K4" s="294"/>
      <c r="L4" s="294"/>
      <c r="M4" s="294"/>
      <c r="N4" s="294"/>
      <c r="O4" s="309"/>
      <c r="P4" s="309"/>
      <c r="Q4" s="309"/>
      <c r="R4" s="309"/>
      <c r="S4" s="309"/>
      <c r="T4" s="309"/>
      <c r="U4" s="309"/>
      <c r="V4" s="309"/>
      <c r="W4" s="309"/>
      <c r="X4" s="309"/>
      <c r="Y4" s="309"/>
      <c r="Z4" s="309"/>
    </row>
    <row r="5" ht="1.5"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ht="15.75" customHeight="1">
      <c r="A6" s="147"/>
      <c r="B6" s="147"/>
      <c r="C6" s="147"/>
      <c r="D6" s="147"/>
      <c r="E6" s="147"/>
      <c r="F6" s="147"/>
      <c r="G6" s="147"/>
      <c r="H6" s="11" t="s">
        <v>361</v>
      </c>
      <c r="I6" s="100">
        <v>46203</v>
      </c>
      <c r="J6" s="147"/>
      <c r="K6" s="147"/>
      <c r="L6" s="147"/>
      <c r="M6" s="147"/>
      <c r="N6" s="147"/>
      <c r="O6" s="147"/>
      <c r="P6" s="147"/>
      <c r="Q6" s="147"/>
      <c r="R6" s="147"/>
      <c r="S6" s="147"/>
      <c r="T6" s="147"/>
      <c r="U6" s="147"/>
      <c r="V6" s="147"/>
      <c r="W6" s="147"/>
      <c r="X6" s="147"/>
      <c r="Y6" s="147"/>
      <c r="Z6" s="147" t="s">
        <v>49</v>
      </c>
    </row>
    <row r="7">
      <c r="A7" s="147"/>
      <c r="B7" s="147"/>
      <c r="C7" s="147"/>
      <c r="D7" s="147"/>
      <c r="E7" s="147"/>
      <c r="F7" s="147"/>
      <c r="G7" s="147"/>
      <c r="H7" s="147"/>
      <c r="I7" s="147"/>
      <c r="J7" s="147"/>
      <c r="K7" s="147"/>
      <c r="L7" s="147"/>
      <c r="M7" s="147"/>
      <c r="N7" s="147"/>
      <c r="O7" s="147"/>
      <c r="P7" s="147"/>
      <c r="Q7" s="147"/>
      <c r="R7" s="147"/>
      <c r="S7" s="147"/>
      <c r="T7" s="147"/>
      <c r="U7" s="147"/>
      <c r="V7" s="147"/>
      <c r="W7" s="469" t="s">
        <v>49</v>
      </c>
      <c r="X7" s="147"/>
      <c r="Y7" s="147"/>
      <c r="Z7" s="147"/>
    </row>
    <row r="8">
      <c r="A8" s="147"/>
      <c r="B8" s="244"/>
      <c r="C8" s="368" t="s">
        <v>531</v>
      </c>
      <c r="D8" s="368"/>
      <c r="E8" s="368"/>
      <c r="F8" s="368"/>
      <c r="G8" s="368"/>
      <c r="H8" s="368"/>
      <c r="I8" s="364" t="s">
        <v>532</v>
      </c>
      <c r="J8" s="364"/>
      <c r="K8" s="364"/>
      <c r="L8" s="474" t="s">
        <v>533</v>
      </c>
      <c r="M8" s="474"/>
      <c r="N8" s="474"/>
      <c r="O8" s="364" t="s">
        <v>534</v>
      </c>
      <c r="P8" s="364"/>
      <c r="Q8" s="364"/>
      <c r="R8" s="364"/>
      <c r="S8" s="474" t="s">
        <v>535</v>
      </c>
      <c r="T8" s="474"/>
      <c r="U8" s="474"/>
      <c r="V8" s="474"/>
      <c r="W8" s="244"/>
      <c r="X8" s="147"/>
      <c r="Y8" s="147"/>
      <c r="Z8" s="147"/>
    </row>
    <row r="9" ht="15.75" customHeight="1">
      <c r="A9" s="147"/>
      <c r="B9" s="250"/>
      <c r="C9" s="239" t="s">
        <v>24</v>
      </c>
      <c r="D9" s="239" t="s">
        <v>536</v>
      </c>
      <c r="E9" s="239" t="s">
        <v>537</v>
      </c>
      <c r="F9" s="240" t="s">
        <v>538</v>
      </c>
      <c r="G9" s="240" t="s">
        <v>539</v>
      </c>
      <c r="H9" s="240" t="s">
        <v>540</v>
      </c>
      <c r="I9" s="240" t="s">
        <v>541</v>
      </c>
      <c r="J9" s="240" t="s">
        <v>67</v>
      </c>
      <c r="K9" s="240" t="s">
        <v>482</v>
      </c>
      <c r="L9" s="475" t="s">
        <v>541</v>
      </c>
      <c r="M9" s="475" t="s">
        <v>67</v>
      </c>
      <c r="N9" s="475" t="s">
        <v>482</v>
      </c>
      <c r="O9" s="240" t="s">
        <v>542</v>
      </c>
      <c r="P9" s="240" t="s">
        <v>543</v>
      </c>
      <c r="Q9" s="240" t="s">
        <v>544</v>
      </c>
      <c r="R9" s="240" t="s">
        <v>545</v>
      </c>
      <c r="S9" s="475" t="s">
        <v>542</v>
      </c>
      <c r="T9" s="475" t="s">
        <v>543</v>
      </c>
      <c r="U9" s="475" t="s">
        <v>544</v>
      </c>
      <c r="V9" s="475" t="s">
        <v>545</v>
      </c>
      <c r="W9" s="241" t="s">
        <v>546</v>
      </c>
      <c r="X9"/>
      <c r="Y9"/>
      <c r="Z9"/>
    </row>
    <row r="10" ht="15.75" customHeight="1">
      <c r="A10" s="147"/>
      <c r="B10" s="200"/>
      <c r="C10" s="231" t="s">
        <v>547</v>
      </c>
      <c r="D10" s="231" t="s">
        <v>548</v>
      </c>
      <c r="E10" s="231" t="s">
        <v>549</v>
      </c>
      <c r="F10" s="232">
        <v>324.35000000000002</v>
      </c>
      <c r="G10" s="233">
        <v>57573599.200000003</v>
      </c>
      <c r="H10" s="233">
        <v>59259721.200000003</v>
      </c>
      <c r="I10" s="233">
        <v>7353308</v>
      </c>
      <c r="J10" s="233">
        <v>2846855</v>
      </c>
      <c r="K10" s="233">
        <v>2168188</v>
      </c>
      <c r="L10" s="470" t="n">
        <f>Forecasts!L15</f>
        <v>7510797.995</v>
      </c>
      <c r="M10" s="470" t="n">
        <f>Forecasts!L39</f>
        <v>2935972.75364</v>
      </c>
      <c r="N10" s="470" t="n">
        <f>Forecasts!L37</f>
        <v>2237468.540105</v>
      </c>
      <c r="O10" s="234" t="n">
        <f t="shared" ref="O10:Q16" si="0">$H10/I10</f>
        <v>8.058920039797055</v>
      </c>
      <c r="P10" s="234">
        <f t="shared" si="0"/>
        <v>20.815855110288371</v>
      </c>
      <c r="Q10" s="234">
        <f t="shared" si="0"/>
        <v>27.331449671338465</v>
      </c>
      <c r="R10" s="234">
        <v>35.3825</v>
      </c>
      <c r="S10" s="472" t="n">
        <f t="shared" ref="S10:U16" si="1">$H10/L10</f>
        <v>7.889936760308251</v>
      </c>
      <c r="T10" s="472">
        <f t="shared" si="1"/>
        <v>20.184016056187915</v>
      </c>
      <c r="U10" s="472">
        <f t="shared" si="1"/>
        <v>26.485163986805848</v>
      </c>
      <c r="V10" s="472">
        <v>31.762</v>
      </c>
      <c r="W10" s="242"/>
      <c r="X10"/>
      <c r="Y10" s="255" t="n">
        <f>L10-Forecasts!L15</f>
        <v>0</v>
      </c>
      <c r="Z10"/>
    </row>
    <row r="11" ht="15.75" customHeight="1">
      <c r="A11" s="147"/>
      <c r="B11" s="200"/>
      <c r="C11" s="235" t="s">
        <v>550</v>
      </c>
      <c r="D11" s="235" t="s">
        <v>551</v>
      </c>
      <c r="E11" s="235" t="s">
        <v>549</v>
      </c>
      <c r="F11" s="236">
        <v>57.26</v>
      </c>
      <c r="G11" s="237">
        <v>32141808.600000001</v>
      </c>
      <c r="H11" s="237">
        <v>21607808.600000001</v>
      </c>
      <c r="I11" s="237">
        <v>128034000</v>
      </c>
      <c r="J11" s="237">
        <v>16982000</v>
      </c>
      <c r="K11" s="237">
        <v>7783000</v>
      </c>
      <c r="L11" s="471">
        <v>132234643</v>
      </c>
      <c r="M11" s="471">
        <v>16583485</v>
      </c>
      <c r="N11" s="471">
        <v>7484744</v>
      </c>
      <c r="O11" s="238">
        <f t="shared" si="0"/>
        <v>0.16876617617195433</v>
      </c>
      <c r="P11" s="238">
        <f t="shared" si="0"/>
        <v>1.2723948062654575</v>
      </c>
      <c r="Q11" s="238">
        <f t="shared" si="0"/>
        <v>2.7762827444430171</v>
      </c>
      <c r="R11" s="238">
        <v>5.5088999999999997</v>
      </c>
      <c r="S11" s="473">
        <f t="shared" si="1"/>
        <v>0.16340505112567213</v>
      </c>
      <c r="T11" s="473">
        <f t="shared" si="1"/>
        <v>1.3029715165419091</v>
      </c>
      <c r="U11" s="473">
        <f t="shared" si="1"/>
        <v>2.8869135136752844</v>
      </c>
      <c r="V11" s="473">
        <v>6.7919999999999998</v>
      </c>
      <c r="W11" s="242"/>
      <c r="X11"/>
      <c r="Y11"/>
      <c r="Z11"/>
    </row>
    <row r="12" ht="15.75" customHeight="1">
      <c r="A12" s="147"/>
      <c r="B12" s="200"/>
      <c r="C12" s="235" t="s">
        <v>552</v>
      </c>
      <c r="D12" s="235" t="s">
        <v>553</v>
      </c>
      <c r="E12" s="235" t="s">
        <v>549</v>
      </c>
      <c r="F12" s="236">
        <v>43.92</v>
      </c>
      <c r="G12" s="237">
        <v>42290730.600000001</v>
      </c>
      <c r="H12" s="237">
        <v>20362730.600000001</v>
      </c>
      <c r="I12" s="237">
        <v>129500000</v>
      </c>
      <c r="J12" s="237">
        <v>12649000</v>
      </c>
      <c r="K12" s="237">
        <v>5392000</v>
      </c>
      <c r="L12" s="471">
        <v>133936020</v>
      </c>
      <c r="M12" s="471">
        <v>15721966</v>
      </c>
      <c r="N12" s="471">
        <v>7595426</v>
      </c>
      <c r="O12" s="238">
        <f t="shared" si="0"/>
        <v>0.15724116293436294</v>
      </c>
      <c r="P12" s="238">
        <f t="shared" si="0"/>
        <v>1.6098292829472687</v>
      </c>
      <c r="Q12" s="238">
        <f t="shared" si="0"/>
        <v>3.7764708086053416</v>
      </c>
      <c r="R12" s="238">
        <v>8.3167000000000009</v>
      </c>
      <c r="S12" s="473">
        <f t="shared" si="1"/>
        <v>0.15203326633119307</v>
      </c>
      <c r="T12" s="473">
        <f t="shared" si="1"/>
        <v>1.295177117162065</v>
      </c>
      <c r="U12" s="473">
        <f t="shared" si="1"/>
        <v>2.6809201485209653</v>
      </c>
      <c r="V12" s="473">
        <v>6.7990000000000004</v>
      </c>
      <c r="W12" s="242"/>
      <c r="X12"/>
      <c r="Y12"/>
      <c r="Z12"/>
    </row>
    <row r="13" ht="15.75" customHeight="1">
      <c r="A13" s="147"/>
      <c r="B13" s="200"/>
      <c r="C13" s="235" t="s">
        <v>554</v>
      </c>
      <c r="D13" s="235" t="s">
        <v>555</v>
      </c>
      <c r="E13" s="235" t="s">
        <v>549</v>
      </c>
      <c r="F13" s="236">
        <v>70.099999999999994</v>
      </c>
      <c r="G13" s="237">
        <v>35772218.700000003</v>
      </c>
      <c r="H13" s="237">
        <v>34438218.700000003</v>
      </c>
      <c r="I13" s="237">
        <v>321648000</v>
      </c>
      <c r="J13" s="237">
        <v>40646000</v>
      </c>
      <c r="K13" s="237">
        <v>8093000</v>
      </c>
      <c r="L13" s="471">
        <v>328368506</v>
      </c>
      <c r="M13" s="471">
        <v>47341483</v>
      </c>
      <c r="N13" s="471">
        <v>16228198</v>
      </c>
      <c r="O13" s="238">
        <f t="shared" si="0"/>
        <v>0.10706803306720392</v>
      </c>
      <c r="P13" s="238">
        <f t="shared" si="0"/>
        <v>0.84727202430743498</v>
      </c>
      <c r="Q13" s="238">
        <f t="shared" si="0"/>
        <v>4.2553093661188681</v>
      </c>
      <c r="R13" s="238">
        <v>7.1459000000000001</v>
      </c>
      <c r="S13" s="473">
        <f t="shared" si="1"/>
        <v>0.10487674082848859</v>
      </c>
      <c r="T13" s="473">
        <f t="shared" si="1"/>
        <v>0.72744275247989176</v>
      </c>
      <c r="U13" s="473">
        <f t="shared" si="1"/>
        <v>2.1221221666139396</v>
      </c>
      <c r="V13" s="473">
        <v>3.202</v>
      </c>
      <c r="W13" s="242"/>
      <c r="X13"/>
      <c r="Y13"/>
      <c r="Z13"/>
    </row>
    <row r="14" ht="15.75" customHeight="1">
      <c r="A14" s="147"/>
      <c r="B14" s="200"/>
      <c r="C14" s="235" t="s">
        <v>556</v>
      </c>
      <c r="D14" s="235" t="s">
        <v>557</v>
      </c>
      <c r="E14" s="235" t="s">
        <v>549</v>
      </c>
      <c r="F14" s="236">
        <v>43.51</v>
      </c>
      <c r="G14" s="237">
        <v>39592060</v>
      </c>
      <c r="H14" s="237">
        <v>44366060</v>
      </c>
      <c r="I14" s="237">
        <v>35344000</v>
      </c>
      <c r="J14" s="237">
        <v>6031000</v>
      </c>
      <c r="K14" s="237">
        <v>754000</v>
      </c>
      <c r="L14" s="471">
        <v>35511633</v>
      </c>
      <c r="M14" s="471">
        <v>6706333</v>
      </c>
      <c r="N14" s="471">
        <v>2646165</v>
      </c>
      <c r="O14" s="238">
        <f t="shared" si="0"/>
        <v>1.2552642598460841</v>
      </c>
      <c r="P14" s="238">
        <f t="shared" si="0"/>
        <v>7.3563355994030841</v>
      </c>
      <c r="Q14" s="238">
        <f t="shared" si="0"/>
        <v>58.840928381962861</v>
      </c>
      <c r="R14" s="238">
        <v>23.960599999999999</v>
      </c>
      <c r="S14" s="473">
        <f t="shared" si="1"/>
        <v>1.2493387730155918</v>
      </c>
      <c r="T14" s="473">
        <f t="shared" si="1"/>
        <v>6.6155468271557645</v>
      </c>
      <c r="U14" s="473">
        <f t="shared" si="1"/>
        <v>16.766172933282693</v>
      </c>
      <c r="V14" s="473">
        <v>21.076000000000001</v>
      </c>
      <c r="W14" s="243" t="s">
        <v>558</v>
      </c>
      <c r="X14"/>
      <c r="Y14"/>
      <c r="Z14"/>
    </row>
    <row r="15" ht="15.75" customHeight="1">
      <c r="A15" s="147"/>
      <c r="B15" s="200"/>
      <c r="C15" s="235" t="s">
        <v>559</v>
      </c>
      <c r="D15" s="235" t="s">
        <v>560</v>
      </c>
      <c r="E15" s="235" t="s">
        <v>549</v>
      </c>
      <c r="F15" s="236">
        <v>4.9755000000000003</v>
      </c>
      <c r="G15" s="237">
        <v>14602533.300000001</v>
      </c>
      <c r="H15" s="237">
        <v>7804533.2999999998</v>
      </c>
      <c r="I15" s="237">
        <v>160861000</v>
      </c>
      <c r="J15" s="237">
        <v>-15591000</v>
      </c>
      <c r="K15" s="237">
        <v>-22154000</v>
      </c>
      <c r="L15" s="471">
        <v>162758932</v>
      </c>
      <c r="M15" s="471">
        <v>11429396</v>
      </c>
      <c r="N15" s="471">
        <v>4116438</v>
      </c>
      <c r="O15" s="238">
        <f t="shared" si="0"/>
        <v>4.8517249675185406E-2</v>
      </c>
      <c r="P15" s="238">
        <f t="shared" si="0"/>
        <v>-0.50057939195689816</v>
      </c>
      <c r="Q15" s="238">
        <f t="shared" si="0"/>
        <v>-0.35228551503114564</v>
      </c>
      <c r="R15" s="238" t="s">
        <v>561</v>
      </c>
      <c r="S15" s="473">
        <f t="shared" si="1"/>
        <v>4.7951489998717858E-2</v>
      </c>
      <c r="T15" s="473">
        <f t="shared" si="1"/>
        <v>0.68284739631035618</v>
      </c>
      <c r="U15" s="473">
        <f t="shared" si="1"/>
        <v>1.8959433617122377</v>
      </c>
      <c r="V15" s="473">
        <v>4.7939999999999996</v>
      </c>
      <c r="W15" s="242"/>
      <c r="X15"/>
      <c r="Y15"/>
      <c r="Z15"/>
    </row>
    <row r="16">
      <c r="A16" s="147"/>
      <c r="B16" s="200"/>
      <c r="C16" s="235" t="s">
        <v>562</v>
      </c>
      <c r="D16" s="235" t="s">
        <v>563</v>
      </c>
      <c r="E16" s="235" t="s">
        <v>564</v>
      </c>
      <c r="F16" s="236">
        <v>67.531099999999995</v>
      </c>
      <c r="G16" s="237">
        <v>60890444.399999999</v>
      </c>
      <c r="H16" s="237">
        <v>59111926.799999997</v>
      </c>
      <c r="I16" s="237">
        <v>159066482.30000001</v>
      </c>
      <c r="J16" s="237">
        <v>14198935</v>
      </c>
      <c r="K16" s="237">
        <v>1556129.9</v>
      </c>
      <c r="L16" s="471">
        <v>164224197</v>
      </c>
      <c r="M16" s="471">
        <v>19780207</v>
      </c>
      <c r="N16" s="471">
        <v>13014288</v>
      </c>
      <c r="O16" s="238">
        <f t="shared" si="0"/>
        <v>0.37161774086708393</v>
      </c>
      <c r="P16" s="238">
        <f t="shared" si="0"/>
        <v>4.1631239807774314</v>
      </c>
      <c r="Q16" s="238">
        <f t="shared" si="0"/>
        <v>37.98649894202277</v>
      </c>
      <c r="R16" s="238">
        <v>5.7961999999999998</v>
      </c>
      <c r="S16" s="473">
        <f t="shared" si="1"/>
        <v>0.35994651141451461</v>
      </c>
      <c r="T16" s="473">
        <f t="shared" si="1"/>
        <v>2.9884382301964787</v>
      </c>
      <c r="U16" s="473">
        <f t="shared" si="1"/>
        <v>4.5420791978785164</v>
      </c>
      <c r="V16" s="473">
        <v>5.7690000000000001</v>
      </c>
      <c r="W16" s="242"/>
      <c r="X16"/>
      <c r="Y16"/>
      <c r="Z16"/>
    </row>
    <row r="17" ht="15.75" customHeight="1">
      <c r="A17" s="147"/>
      <c r="B17" s="200"/>
      <c r="C17" s="235" t="s">
        <v>565</v>
      </c>
      <c r="D17" s="235" t="s">
        <v>566</v>
      </c>
      <c r="E17" s="235" t="s">
        <v>567</v>
      </c>
      <c r="F17" s="236">
        <v>0.43836999999999998</v>
      </c>
      <c r="G17" s="237">
        <v>445085.8</v>
      </c>
      <c r="H17" s="237" t="s">
        <v>561</v>
      </c>
      <c r="I17" s="237">
        <v>1647656.6</v>
      </c>
      <c r="J17" s="237" t="s">
        <v>561</v>
      </c>
      <c r="K17" s="237" t="s">
        <v>561</v>
      </c>
      <c r="L17" s="471">
        <v>1802466</v>
      </c>
      <c r="M17" s="471">
        <v>380885</v>
      </c>
      <c r="N17" s="471">
        <v>-49592</v>
      </c>
      <c r="O17" s="238" t="s">
        <v>561</v>
      </c>
      <c r="P17" s="238" t="s">
        <v>561</v>
      </c>
      <c r="Q17" s="238" t="s">
        <v>561</v>
      </c>
      <c r="R17" s="238" t="s">
        <v>561</v>
      </c>
      <c r="S17" s="473" t="s">
        <v>561</v>
      </c>
      <c r="T17" s="473" t="s">
        <v>561</v>
      </c>
      <c r="U17" s="473" t="s">
        <v>561</v>
      </c>
      <c r="V17" s="473" t="s">
        <v>561</v>
      </c>
      <c r="W17" s="243" t="s">
        <v>558</v>
      </c>
      <c r="X17"/>
      <c r="Y17"/>
      <c r="Z17"/>
    </row>
    <row r="18" ht="15.75" customHeight="1">
      <c r="A18" s="147"/>
      <c r="B18" s="200"/>
      <c r="C18" s="235" t="s">
        <v>568</v>
      </c>
      <c r="D18" s="235" t="s">
        <v>569</v>
      </c>
      <c r="E18" s="235" t="s">
        <v>549</v>
      </c>
      <c r="F18" s="236">
        <v>1598</v>
      </c>
      <c r="G18" s="237">
        <v>168699920.40000001</v>
      </c>
      <c r="H18" s="237">
        <v>158676920.40000001</v>
      </c>
      <c r="I18" s="237">
        <v>16132000</v>
      </c>
      <c r="J18" s="237">
        <v>7577000</v>
      </c>
      <c r="K18" s="237">
        <v>6593000</v>
      </c>
      <c r="L18" s="471">
        <v>17596555</v>
      </c>
      <c r="M18" s="471">
        <v>7935629</v>
      </c>
      <c r="N18" s="471">
        <v>7063843</v>
      </c>
      <c r="O18" s="238" t="n">
        <f t="shared" ref="O18:Q25" si="2">$H18/I18</f>
        <v>9.836159211505084</v>
      </c>
      <c r="P18" s="238">
        <f t="shared" si="2"/>
        <v>20.941919018081034</v>
      </c>
      <c r="Q18" s="238">
        <f t="shared" si="2"/>
        <v>24.067483755498255</v>
      </c>
      <c r="R18" s="238">
        <v>37.085900000000002</v>
      </c>
      <c r="S18" s="473" t="n">
        <f t="shared" ref="S18:U25" si="3">$H18/L18</f>
        <v>9.017499186630566</v>
      </c>
      <c r="T18" s="473">
        <f t="shared" si="3"/>
        <v>19.995506392750972</v>
      </c>
      <c r="U18" s="473">
        <f t="shared" si="3"/>
        <v>22.463256955172984</v>
      </c>
      <c r="V18" s="473">
        <v>33.298000000000002</v>
      </c>
      <c r="W18" s="243" t="s">
        <v>558</v>
      </c>
      <c r="X18"/>
      <c r="Y18"/>
      <c r="Z18"/>
    </row>
    <row r="19" ht="15.75" customHeight="1">
      <c r="A19" s="147"/>
      <c r="B19" s="200"/>
      <c r="C19" s="235" t="s">
        <v>570</v>
      </c>
      <c r="D19" s="235" t="s">
        <v>571</v>
      </c>
      <c r="E19" s="235" t="s">
        <v>549</v>
      </c>
      <c r="F19" s="236">
        <v>484.1</v>
      </c>
      <c r="G19" s="237">
        <v>240022143.80000001</v>
      </c>
      <c r="H19" s="237">
        <v>266164143.80000001</v>
      </c>
      <c r="I19" s="237">
        <v>79641000</v>
      </c>
      <c r="J19" s="237">
        <v>24597000</v>
      </c>
      <c r="K19" s="237">
        <v>16740000</v>
      </c>
      <c r="L19" s="471">
        <v>82858057</v>
      </c>
      <c r="M19" s="471">
        <v>25815936</v>
      </c>
      <c r="N19" s="471">
        <v>18358084</v>
      </c>
      <c r="O19" s="238">
        <f t="shared" si="2"/>
        <v>3.3420492434801172</v>
      </c>
      <c r="P19" s="238">
        <f t="shared" si="2"/>
        <v>10.821000276456479</v>
      </c>
      <c r="Q19" s="238">
        <f t="shared" si="2"/>
        <v>15.899889115890085</v>
      </c>
      <c r="R19" s="238">
        <v>22.059200000000001</v>
      </c>
      <c r="S19" s="473">
        <f t="shared" si="3"/>
        <v>3.2122904330233091</v>
      </c>
      <c r="T19" s="473">
        <f t="shared" si="3"/>
        <v>10.310071414803632</v>
      </c>
      <c r="U19" s="473">
        <f t="shared" si="3"/>
        <v>14.498470744550467</v>
      </c>
      <c r="V19" s="473">
        <v>20.457000000000001</v>
      </c>
      <c r="W19" s="243" t="s">
        <v>558</v>
      </c>
      <c r="X19"/>
      <c r="Y19"/>
      <c r="Z19"/>
    </row>
    <row r="20">
      <c r="B20" s="177"/>
      <c r="C20" s="235" t="s">
        <v>572</v>
      </c>
      <c r="D20" s="235" t="s">
        <v>573</v>
      </c>
      <c r="E20" s="235" t="s">
        <v>549</v>
      </c>
      <c r="F20" s="236">
        <v>247.3</v>
      </c>
      <c r="G20" s="237">
        <v>30521958.399999999</v>
      </c>
      <c r="H20" s="237">
        <v>40819958.399999999</v>
      </c>
      <c r="I20" s="237">
        <v>14308000</v>
      </c>
      <c r="J20" s="237">
        <v>2769000</v>
      </c>
      <c r="K20" s="237">
        <v>744000</v>
      </c>
      <c r="L20" s="471">
        <v>15257710</v>
      </c>
      <c r="M20" s="471">
        <v>4002871</v>
      </c>
      <c r="N20" s="471">
        <v>2089106</v>
      </c>
      <c r="O20" s="238">
        <f t="shared" si="2"/>
        <v>2.8529464914733014</v>
      </c>
      <c r="P20" s="238">
        <f t="shared" si="2"/>
        <v>14.741769014084506</v>
      </c>
      <c r="Q20" s="238">
        <f t="shared" si="2"/>
        <v>54.865535483870964</v>
      </c>
      <c r="R20" s="238" t="s">
        <v>561</v>
      </c>
      <c r="S20" s="473">
        <f t="shared" si="3"/>
        <v>2.6753659887361865</v>
      </c>
      <c r="T20" s="473">
        <f t="shared" si="3"/>
        <v>10.197670222198017</v>
      </c>
      <c r="U20" s="473">
        <f t="shared" si="3"/>
        <v>19.539438592393108</v>
      </c>
      <c r="V20" s="473">
        <v>30.443999999999999</v>
      </c>
      <c r="W20" s="243" t="s">
        <v>558</v>
      </c>
      <c r="X20"/>
      <c r="Y20"/>
      <c r="Z20"/>
    </row>
    <row r="21">
      <c r="B21" s="177"/>
      <c r="C21" s="235" t="s">
        <v>574</v>
      </c>
      <c r="D21" s="235" t="s">
        <v>575</v>
      </c>
      <c r="E21" s="235" t="s">
        <v>576</v>
      </c>
      <c r="F21" s="236">
        <v>202.10168999999999</v>
      </c>
      <c r="G21" s="237">
        <v>119510872.7</v>
      </c>
      <c r="H21" s="237">
        <v>115818885.5</v>
      </c>
      <c r="I21" s="237">
        <v>22420000</v>
      </c>
      <c r="J21" s="237">
        <v>6101000</v>
      </c>
      <c r="K21" s="237">
        <v>4492000</v>
      </c>
      <c r="L21" s="471">
        <v>24641135</v>
      </c>
      <c r="M21" s="471">
        <v>6915246</v>
      </c>
      <c r="N21" s="471">
        <v>5378284</v>
      </c>
      <c r="O21" s="238">
        <f t="shared" si="2"/>
        <v>5.1658735727029441</v>
      </c>
      <c r="P21" s="238">
        <f t="shared" si="2"/>
        <v>18.983590476970988</v>
      </c>
      <c r="Q21" s="238">
        <f t="shared" si="2"/>
        <v>25.783367208370436</v>
      </c>
      <c r="R21" s="238">
        <v>34.299500000000002</v>
      </c>
      <c r="S21" s="473">
        <f t="shared" si="3"/>
        <v>4.7002252737140555</v>
      </c>
      <c r="T21" s="473">
        <f t="shared" si="3"/>
        <v>16.748339176943237</v>
      </c>
      <c r="U21" s="473">
        <f t="shared" si="3"/>
        <v>21.534542523228598</v>
      </c>
      <c r="V21" s="473">
        <v>27.88</v>
      </c>
      <c r="W21" s="243" t="s">
        <v>558</v>
      </c>
      <c r="X21"/>
      <c r="Y21"/>
      <c r="Z21"/>
    </row>
    <row r="22">
      <c r="B22" s="177"/>
      <c r="C22" s="235" t="s">
        <v>577</v>
      </c>
      <c r="D22" s="235" t="s">
        <v>578</v>
      </c>
      <c r="E22" s="235" t="s">
        <v>549</v>
      </c>
      <c r="F22" s="236">
        <v>50.78</v>
      </c>
      <c r="G22" s="237">
        <v>13954646.300000001</v>
      </c>
      <c r="H22" s="237">
        <v>14662010.300000001</v>
      </c>
      <c r="I22" s="237">
        <v>3196375</v>
      </c>
      <c r="J22" s="237">
        <v>1283275</v>
      </c>
      <c r="K22" s="237">
        <v>933990</v>
      </c>
      <c r="L22" s="471">
        <v>3396547</v>
      </c>
      <c r="M22" s="471">
        <v>1365112</v>
      </c>
      <c r="N22" s="471">
        <v>999519</v>
      </c>
      <c r="O22" s="238">
        <f t="shared" si="2"/>
        <v>4.5870745140980018</v>
      </c>
      <c r="P22" s="238">
        <f t="shared" si="2"/>
        <v>11.425462430110461</v>
      </c>
      <c r="Q22" s="238">
        <f t="shared" si="2"/>
        <v>15.698251908478678</v>
      </c>
      <c r="R22" s="238">
        <v>21.587399999999999</v>
      </c>
      <c r="S22" s="473">
        <f t="shared" si="3"/>
        <v>4.3167400009480215</v>
      </c>
      <c r="T22" s="473">
        <f t="shared" si="3"/>
        <v>10.740518213890143</v>
      </c>
      <c r="U22" s="473">
        <f t="shared" si="3"/>
        <v>14.669066120804107</v>
      </c>
      <c r="V22" s="473">
        <v>20.335000000000001</v>
      </c>
      <c r="W22" s="243" t="s">
        <v>558</v>
      </c>
      <c r="X22"/>
      <c r="Y22"/>
      <c r="Z22"/>
    </row>
    <row r="23">
      <c r="B23" s="177"/>
      <c r="C23" s="235" t="s">
        <v>579</v>
      </c>
      <c r="D23" s="235" t="s">
        <v>580</v>
      </c>
      <c r="E23" s="235" t="s">
        <v>549</v>
      </c>
      <c r="F23" s="236">
        <v>82.6</v>
      </c>
      <c r="G23" s="237">
        <v>5616800</v>
      </c>
      <c r="H23" s="237">
        <v>6681396</v>
      </c>
      <c r="I23" s="237">
        <v>1473227</v>
      </c>
      <c r="J23" s="237">
        <v>434323</v>
      </c>
      <c r="K23" s="237">
        <v>242146</v>
      </c>
      <c r="L23" s="471">
        <v>1619639</v>
      </c>
      <c r="M23" s="471">
        <v>481385</v>
      </c>
      <c r="N23" s="471">
        <v>276482</v>
      </c>
      <c r="O23" s="238">
        <f t="shared" si="2"/>
        <v>4.5352114779324575</v>
      </c>
      <c r="P23" s="238">
        <f t="shared" si="2"/>
        <v>15.383472668958357</v>
      </c>
      <c r="Q23" s="238">
        <f t="shared" si="2"/>
        <v>27.592427708902893</v>
      </c>
      <c r="R23" s="238">
        <v>40.733199999999997</v>
      </c>
      <c r="S23" s="473">
        <f t="shared" si="3"/>
        <v>4.1252377844692552</v>
      </c>
      <c r="T23" s="473">
        <f t="shared" si="3"/>
        <v>13.879526782097489</v>
      </c>
      <c r="U23" s="473">
        <f t="shared" si="3"/>
        <v>24.165754009302596</v>
      </c>
      <c r="V23" s="473">
        <v>33.975999999999999</v>
      </c>
      <c r="W23" s="243" t="s">
        <v>558</v>
      </c>
      <c r="X23"/>
      <c r="Y23"/>
      <c r="Z23"/>
    </row>
    <row r="24">
      <c r="B24" s="177"/>
      <c r="C24" s="235" t="s">
        <v>581</v>
      </c>
      <c r="D24" s="235" t="s">
        <v>582</v>
      </c>
      <c r="E24" s="235" t="s">
        <v>583</v>
      </c>
      <c r="F24" s="236">
        <v>4.4371099999999997</v>
      </c>
      <c r="G24" s="237">
        <v>11353784.5</v>
      </c>
      <c r="H24" s="237">
        <v>15184385.5</v>
      </c>
      <c r="I24" s="237">
        <v>6025500</v>
      </c>
      <c r="J24" s="237">
        <v>2110976</v>
      </c>
      <c r="K24" s="237">
        <v>1214745</v>
      </c>
      <c r="L24" s="471">
        <v>6603657</v>
      </c>
      <c r="M24" s="471">
        <v>2221488</v>
      </c>
      <c r="N24" s="471">
        <v>1295581</v>
      </c>
      <c r="O24" s="238">
        <f t="shared" si="2"/>
        <v>2.5200208281470418</v>
      </c>
      <c r="P24" s="238">
        <f t="shared" si="2"/>
        <v>7.1930640139916324</v>
      </c>
      <c r="Q24" s="238">
        <f t="shared" si="2"/>
        <v>12.500060094917041</v>
      </c>
      <c r="R24" s="238">
        <v>14.307</v>
      </c>
      <c r="S24" s="473">
        <f t="shared" si="3"/>
        <v>2.2993903983807762</v>
      </c>
      <c r="T24" s="473">
        <f t="shared" si="3"/>
        <v>6.8352318355984814</v>
      </c>
      <c r="U24" s="473">
        <f t="shared" si="3"/>
        <v>11.720135985322415</v>
      </c>
      <c r="V24" s="473">
        <v>13.661</v>
      </c>
      <c r="W24" s="243" t="s">
        <v>558</v>
      </c>
      <c r="X24"/>
      <c r="Y24"/>
      <c r="Z24"/>
    </row>
    <row r="25">
      <c r="B25" s="177"/>
      <c r="C25" s="235" t="s">
        <v>584</v>
      </c>
      <c r="D25" s="235" t="s">
        <v>585</v>
      </c>
      <c r="E25" s="235" t="s">
        <v>567</v>
      </c>
      <c r="F25" s="236">
        <v>12.32921</v>
      </c>
      <c r="G25" s="237">
        <v>4450952.8</v>
      </c>
      <c r="H25" s="237">
        <v>5447041.7000000002</v>
      </c>
      <c r="I25" s="237">
        <v>2799108.9</v>
      </c>
      <c r="J25" s="237">
        <v>566761.69999999995</v>
      </c>
      <c r="K25" s="237">
        <v>133015.5</v>
      </c>
      <c r="L25" s="471">
        <v>2999561</v>
      </c>
      <c r="M25" s="471">
        <v>736004</v>
      </c>
      <c r="N25" s="471">
        <v>309362</v>
      </c>
      <c r="O25" s="238">
        <f t="shared" si="2"/>
        <v>1.9459913474606152</v>
      </c>
      <c r="P25" s="238">
        <f t="shared" si="2"/>
        <v>9.6108147392457894</v>
      </c>
      <c r="Q25" s="238">
        <f t="shared" si="2"/>
        <v>40.950428333540074</v>
      </c>
      <c r="R25" s="238">
        <v>176.59379999999999</v>
      </c>
      <c r="S25" s="473">
        <f t="shared" si="3"/>
        <v>1.8159463001419209</v>
      </c>
      <c r="T25" s="473">
        <f t="shared" si="3"/>
        <v>7.4008316530888418</v>
      </c>
      <c r="U25" s="473">
        <f t="shared" si="3"/>
        <v>17.607339298297788</v>
      </c>
      <c r="V25" s="473">
        <v>24.838000000000001</v>
      </c>
      <c r="W25" s="243" t="s">
        <v>558</v>
      </c>
      <c r="X25"/>
      <c r="Y25"/>
      <c r="Z25"/>
    </row>
    <row r="26">
      <c r="E26"/>
      <c r="F26"/>
      <c r="G26"/>
      <c r="H26"/>
      <c r="I26"/>
      <c r="J26"/>
      <c r="K26"/>
      <c r="L26"/>
      <c r="M26"/>
      <c r="N26"/>
      <c r="O26"/>
      <c r="P26"/>
      <c r="Q26"/>
      <c r="R26"/>
      <c r="S26"/>
      <c r="T26"/>
      <c r="U26"/>
      <c r="V26"/>
      <c r="W26"/>
      <c r="X26"/>
      <c r="Y26"/>
      <c r="Z26"/>
    </row>
    <row r="27">
      <c r="E27"/>
      <c r="F27"/>
      <c r="G27"/>
      <c r="H27"/>
      <c r="I27"/>
      <c r="J27"/>
      <c r="K27"/>
      <c r="L27"/>
      <c r="M27"/>
      <c r="N27"/>
      <c r="O27"/>
      <c r="P27"/>
      <c r="Q27"/>
      <c r="R27"/>
      <c r="S27"/>
      <c r="T27"/>
      <c r="U27"/>
      <c r="V27"/>
      <c r="W27"/>
      <c r="X27"/>
      <c r="Y27"/>
      <c r="Z27"/>
    </row>
    <row r="28">
      <c r="B28" s="177"/>
      <c r="C28" s="247" t="s">
        <v>586</v>
      </c>
      <c r="D28" s="248" t="n">
        <f>WACC!G27</f>
        <v>318.85</v>
      </c>
      <c r="E28"/>
      <c r="F28"/>
      <c r="G28"/>
      <c r="H28"/>
      <c r="I28"/>
      <c r="J28"/>
      <c r="K28"/>
      <c r="L28"/>
      <c r="M28"/>
      <c r="N28" s="245" t="s">
        <v>587</v>
      </c>
      <c r="O28" s="246" t="n">
        <f t="shared" ref="O28:V28" si="4">AVERAGE(O11:O25)</f>
        <v>2.6352715220972454</v>
      </c>
      <c r="P28" s="246">
        <f t="shared" si="4"/>
        <v>8.8463906385459303</v>
      </c>
      <c r="Q28" s="246">
        <f t="shared" si="4"/>
        <v>23.188617738399294</v>
      </c>
      <c r="R28" s="246">
        <f t="shared" si="4"/>
        <v>33.116191666666658</v>
      </c>
      <c r="S28" s="246">
        <f t="shared" si="4"/>
        <v>2.4457319427684481</v>
      </c>
      <c r="T28" s="246">
        <f t="shared" si="4"/>
        <v>7.8371513950869476</v>
      </c>
      <c r="U28" s="246">
        <f t="shared" si="4"/>
        <v>12.649439682196837</v>
      </c>
      <c r="V28" s="246">
        <f t="shared" si="4"/>
        <v>18.094357142857142</v>
      </c>
      <c r="W28"/>
      <c r="X28"/>
      <c r="Y28"/>
      <c r="Z28"/>
    </row>
    <row r="29">
      <c r="B29" s="177"/>
      <c r="C29" s="247" t="s">
        <v>588</v>
      </c>
      <c r="D29" s="249" t="n">
        <f>WACC!G28</f>
        <v>175916530</v>
      </c>
      <c r="E29"/>
      <c r="F29"/>
      <c r="G29"/>
      <c r="H29"/>
      <c r="I29"/>
      <c r="J29"/>
      <c r="K29"/>
      <c r="L29"/>
      <c r="M29"/>
      <c r="N29" s="245" t="s">
        <v>589</v>
      </c>
      <c r="O29" s="246" t="n">
        <f t="shared" ref="O29:V29" si="5">MEDIAN(O11:O25)</f>
        <v>2.2330060878038287</v>
      </c>
      <c r="P29" s="246">
        <f t="shared" si="5"/>
        <v>8.4835751693244372</v>
      </c>
      <c r="Q29" s="246">
        <f t="shared" si="5"/>
        <v>19.983686435694171</v>
      </c>
      <c r="R29" s="246">
        <f t="shared" si="5"/>
        <v>21.8233</v>
      </c>
      <c r="S29" s="246">
        <f t="shared" si="5"/>
        <v>2.0576683492613483</v>
      </c>
      <c r="T29" s="246">
        <f t="shared" si="5"/>
        <v>7.1180317443436616</v>
      </c>
      <c r="U29" s="246">
        <f t="shared" si="5"/>
        <v>14.583768432677287</v>
      </c>
      <c r="V29" s="246">
        <f t="shared" si="5"/>
        <v>20.396000000000001</v>
      </c>
      <c r="W29"/>
      <c r="X29"/>
      <c r="Y29"/>
      <c r="Z29"/>
    </row>
    <row r="30">
      <c r="B30" s="177"/>
      <c r="C30" s="247" t="s">
        <v>590</v>
      </c>
      <c r="D30" s="249" t="n">
        <f>WACC!G30</f>
        <v>1499220</v>
      </c>
      <c r="E30"/>
      <c r="F30"/>
      <c r="G30"/>
      <c r="H30"/>
      <c r="I30"/>
      <c r="J30"/>
      <c r="K30"/>
      <c r="L30"/>
      <c r="M30"/>
      <c r="N30" s="245" t="s">
        <v>591</v>
      </c>
      <c r="O30" s="246" t="n">
        <f t="shared" ref="O30:V30" si="6">AVERAGE(O11:O17)</f>
        <v>0.3514124370936458</v>
      </c>
      <c r="P30" s="246">
        <f t="shared" si="6"/>
        <v>2.4580627169572966</v>
      </c>
      <c r="Q30" s="246">
        <f t="shared" si="6"/>
        <v>17.88053412135362</v>
      </c>
      <c r="R30" s="246">
        <f t="shared" si="6"/>
        <v>10.145660000000001</v>
      </c>
      <c r="S30" s="246">
        <f t="shared" si="6"/>
        <v>0.34625863878569635</v>
      </c>
      <c r="T30" s="246">
        <f t="shared" si="6"/>
        <v>2.2687373066410776</v>
      </c>
      <c r="U30" s="246">
        <f t="shared" si="6"/>
        <v>5.1490252202806062</v>
      </c>
      <c r="V30" s="246">
        <f t="shared" si="6"/>
        <v>8.0719999999999992</v>
      </c>
      <c r="W30"/>
      <c r="X30"/>
      <c r="Y30"/>
      <c r="Z30"/>
    </row>
    <row r="31">
      <c r="B31" s="177"/>
      <c r="C31" s="247" t="s">
        <v>592</v>
      </c>
      <c r="D31" s="249" t="n">
        <f>I10</f>
        <v>7353308</v>
      </c>
      <c r="E31"/>
      <c r="F31"/>
      <c r="G31"/>
      <c r="H31"/>
      <c r="I31"/>
      <c r="J31"/>
      <c r="K31"/>
      <c r="L31"/>
      <c r="M31"/>
      <c r="N31" s="245" t="s">
        <v>593</v>
      </c>
      <c r="O31" s="246" t="n">
        <f t="shared" ref="O31:V31" si="7">MEDIAN(O11:O17)</f>
        <v>0.16300366955315865</v>
      </c>
      <c r="P31" s="246">
        <f t="shared" si="7"/>
        <v>1.441112044606363</v>
      </c>
      <c r="Q31" s="246">
        <f t="shared" si="7"/>
        <v>4.0158900873621048</v>
      </c>
      <c r="R31" s="246">
        <f t="shared" si="7"/>
        <v>7.1459000000000001</v>
      </c>
      <c r="S31" s="246">
        <f t="shared" si="7"/>
        <v>0.15771915872843262</v>
      </c>
      <c r="T31" s="246">
        <f t="shared" si="7"/>
        <v>1.2990743168519869</v>
      </c>
      <c r="U31" s="246">
        <f t="shared" si="7"/>
        <v>2.783916831098125</v>
      </c>
      <c r="V31" s="246">
        <f t="shared" si="7"/>
        <v>6.2805</v>
      </c>
      <c r="W31"/>
      <c r="X31"/>
      <c r="Y31"/>
      <c r="Z31"/>
    </row>
    <row r="32">
      <c r="B32" s="177"/>
      <c r="C32" s="247" t="s">
        <v>594</v>
      </c>
      <c r="D32" s="249" t="n">
        <f>J10</f>
        <v>2846855</v>
      </c>
      <c r="E32"/>
      <c r="F32"/>
      <c r="G32"/>
      <c r="H32"/>
      <c r="I32"/>
      <c r="J32"/>
      <c r="K32"/>
      <c r="L32"/>
      <c r="M32"/>
      <c r="N32" s="245" t="s">
        <v>595</v>
      </c>
      <c r="O32" s="246" t="n">
        <f t="shared" ref="O32:V32" si="8">AVERAGE(O18:O25)</f>
        <v>4.3481658358499455</v>
      </c>
      <c r="P32" s="246">
        <f t="shared" si="8"/>
        <v>13.637636579737404</v>
      </c>
      <c r="Q32" s="246">
        <f t="shared" si="8"/>
        <v>27.169680451183552</v>
      </c>
      <c r="R32" s="246">
        <f t="shared" si="8"/>
        <v>49.523714285714277</v>
      </c>
      <c r="S32" s="246">
        <f t="shared" si="8"/>
        <v>4.0203369207555113</v>
      </c>
      <c r="T32" s="246">
        <f t="shared" si="8"/>
        <v>12.013461961421351</v>
      </c>
      <c r="U32" s="246">
        <f t="shared" si="8"/>
        <v>18.274750528634009</v>
      </c>
      <c r="V32" s="246">
        <f t="shared" si="8"/>
        <v>25.611124999999998</v>
      </c>
      <c r="W32"/>
      <c r="X32"/>
      <c r="Y32"/>
      <c r="Z32"/>
    </row>
    <row r="33">
      <c r="B33" s="177"/>
      <c r="C33" s="247" t="s">
        <v>596</v>
      </c>
      <c r="D33" s="249" t="n">
        <f>K10</f>
        <v>2168188</v>
      </c>
      <c r="E33"/>
      <c r="F33"/>
      <c r="G33"/>
      <c r="H33"/>
      <c r="I33"/>
      <c r="J33"/>
      <c r="K33"/>
      <c r="L33"/>
      <c r="M33"/>
      <c r="N33" s="245" t="s">
        <v>597</v>
      </c>
      <c r="O33" s="246" t="n">
        <f t="shared" ref="O33:V33" si="9">MEDIAN(O18:O25)</f>
        <v>3.9386303607062874</v>
      </c>
      <c r="P33" s="246">
        <f t="shared" si="9"/>
        <v>13.083615722097484</v>
      </c>
      <c r="Q33" s="246">
        <f t="shared" si="9"/>
        <v>24.925425481934347</v>
      </c>
      <c r="R33" s="246">
        <f t="shared" si="9"/>
        <v>34.299500000000002</v>
      </c>
      <c r="S33" s="246">
        <f t="shared" si="9"/>
        <v>3.6687641087462821</v>
      </c>
      <c r="T33" s="246">
        <f t="shared" si="9"/>
        <v>10.525294814346887</v>
      </c>
      <c r="U33" s="246">
        <f t="shared" si="9"/>
        <v>18.573388945345449</v>
      </c>
      <c r="V33" s="246">
        <f t="shared" si="9"/>
        <v>26.359000000000002</v>
      </c>
      <c r="W33"/>
      <c r="X33"/>
      <c r="Y33"/>
      <c r="Z33"/>
    </row>
    <row r="34">
      <c r="B34" s="177"/>
      <c r="C34" s="247" t="s">
        <v>598</v>
      </c>
      <c r="D34" s="248">
        <v>9.1669999999999998</v>
      </c>
      <c r="E34"/>
      <c r="F34"/>
      <c r="G34"/>
      <c r="H34"/>
      <c r="I34"/>
      <c r="J34"/>
      <c r="K34"/>
      <c r="L34"/>
      <c r="M34"/>
      <c r="N34" s="245" t="s">
        <v>599</v>
      </c>
      <c r="O34" s="246" t="n">
        <f t="shared" ref="O34:V34" si="10">AVERAGEIF($W$10:$W$25,"X",O10:O25)</f>
        <v>4.004510105182849</v>
      </c>
      <c r="P34" s="246">
        <f t="shared" si="10"/>
        <v>12.939714248589148</v>
      </c>
      <c r="Q34" s="246">
        <f t="shared" si="10"/>
        <v>30.688707999047924</v>
      </c>
      <c r="R34" s="246">
        <f t="shared" si="10"/>
        <v>46.328324999999992</v>
      </c>
      <c r="S34" s="246">
        <f t="shared" si="10"/>
        <v>3.7124482376732981</v>
      </c>
      <c r="T34" s="246">
        <f t="shared" si="10"/>
        <v>11.413693613169619</v>
      </c>
      <c r="U34" s="246">
        <f t="shared" si="10"/>
        <v>18.107130795817195</v>
      </c>
      <c r="V34" s="246">
        <f t="shared" si="10"/>
        <v>25.107222222222223</v>
      </c>
      <c r="W34"/>
      <c r="X34"/>
      <c r="Y34"/>
      <c r="Z34"/>
    </row>
    <row r="35">
      <c r="B35" s="177"/>
      <c r="C35" s="247" t="s">
        <v>600</v>
      </c>
      <c r="D35" s="249" t="n">
        <f>L10</f>
        <v>7510797.995</v>
      </c>
      <c r="E35"/>
      <c r="F35"/>
      <c r="G35"/>
      <c r="H35"/>
      <c r="I35"/>
      <c r="J35"/>
      <c r="K35"/>
      <c r="L35"/>
      <c r="M35"/>
      <c r="N35" s="245" t="s">
        <v>601</v>
      </c>
      <c r="O35" s="246" t="n" cm="1">
        <f t="array" ref="O35">MEDIAN(_xlfn._xlws.FILTER(O10:O25,$W$10:$W$25="X"))</f>
        <v>3.3420492434801172</v>
      </c>
      <c r="P35" s="246" t="n" cm="1">
        <f t="array" ref="P35">MEDIAN(_xlfn._xlws.FILTER(P10:P25,$W$10:$W$25="X"))</f>
        <v>11.42546243011046</v>
      </c>
      <c r="Q35" s="246" t="n" cm="1">
        <f t="array" ref="Q35">MEDIAN(_xlfn._xlws.FILTER(Q10:Q25,$W$10:$W$25="X"))</f>
        <v>25.783367208370436</v>
      </c>
      <c r="R35" s="246" t="n" cm="1">
        <f t="array" ref="R35">MEDIAN(_xlfn._xlws.FILTER(R10:R25,$W$10:$W$25="X"))</f>
        <v>29.13005</v>
      </c>
      <c r="S35" s="246" t="n" cm="1">
        <f t="array" ref="S35">MEDIAN(_xlfn._xlws.FILTER(S10:S25,$W$10:$W$25="X"))</f>
        <v>3.212290433023309</v>
      </c>
      <c r="T35" s="246" t="n" cm="1">
        <f t="array" ref="T35">MEDIAN(_xlfn._xlws.FILTER(T10:T25,$W$10:$W$25="X"))</f>
        <v>10.310071414803632</v>
      </c>
      <c r="U35" s="246" t="n" cm="1">
        <f t="array" ref="U35">MEDIAN(_xlfn._xlws.FILTER(U10:U25,$W$10:$W$25="X"))</f>
        <v>17.607339298297788</v>
      </c>
      <c r="V35" s="246" t="n" cm="1">
        <f t="array" ref="V35">MEDIAN(_xlfn._xlws.FILTER(V10:V25,$W$10:$W$25="X"))</f>
        <v>24.838</v>
      </c>
      <c r="W35"/>
      <c r="X35"/>
      <c r="Y35"/>
      <c r="Z35"/>
    </row>
    <row r="36">
      <c r="B36" s="177"/>
      <c r="C36" s="247" t="s">
        <v>602</v>
      </c>
      <c r="D36" s="249" t="n">
        <f>M10</f>
        <v>2935972.75364</v>
      </c>
      <c r="E36"/>
      <c r="F36"/>
      <c r="G36"/>
      <c r="H36"/>
      <c r="I36"/>
      <c r="J36"/>
      <c r="K36"/>
      <c r="L36"/>
      <c r="M36"/>
      <c r="N36"/>
      <c r="O36"/>
      <c r="P36"/>
      <c r="Q36"/>
      <c r="R36"/>
      <c r="S36"/>
      <c r="T36"/>
      <c r="U36"/>
      <c r="V36"/>
      <c r="W36"/>
      <c r="X36"/>
      <c r="Y36"/>
      <c r="Z36"/>
    </row>
    <row r="37">
      <c r="B37" s="177"/>
      <c r="C37" s="247" t="s">
        <v>603</v>
      </c>
      <c r="D37" s="249" t="n">
        <f>N10</f>
        <v>2237468.540105</v>
      </c>
      <c r="E37"/>
      <c r="F37"/>
      <c r="G37"/>
      <c r="H37"/>
      <c r="I37"/>
      <c r="J37"/>
      <c r="K37"/>
      <c r="L37"/>
      <c r="M37"/>
      <c r="N37"/>
      <c r="O37"/>
      <c r="P37"/>
      <c r="Q37"/>
      <c r="R37"/>
      <c r="S37"/>
      <c r="T37"/>
      <c r="U37"/>
      <c r="V37"/>
      <c r="W37"/>
      <c r="X37"/>
      <c r="Y37"/>
      <c r="Z37"/>
    </row>
    <row r="38">
      <c r="B38" s="177"/>
      <c r="C38" s="247" t="s">
        <v>604</v>
      </c>
      <c r="D38" s="248">
        <v>10.212</v>
      </c>
      <c r="E38"/>
      <c r="F38"/>
      <c r="G38"/>
      <c r="H38"/>
      <c r="I38"/>
      <c r="J38"/>
      <c r="K38"/>
      <c r="L38"/>
      <c r="M38"/>
      <c r="N38"/>
      <c r="O38"/>
      <c r="P38"/>
      <c r="Q38"/>
      <c r="R38"/>
      <c r="S38"/>
      <c r="T38"/>
      <c r="U38"/>
      <c r="V38"/>
      <c r="W38"/>
      <c r="X38"/>
      <c r="Y38"/>
      <c r="Z38"/>
    </row>
    <row r="39">
      <c r="E39"/>
      <c r="F39"/>
      <c r="G39"/>
      <c r="H39"/>
      <c r="I39"/>
      <c r="J39"/>
      <c r="K39"/>
      <c r="L39"/>
      <c r="M39"/>
      <c r="N39"/>
      <c r="O39"/>
      <c r="P39"/>
      <c r="Q39"/>
      <c r="R39"/>
      <c r="S39"/>
      <c r="T39"/>
      <c r="U39"/>
      <c r="V39"/>
      <c r="W39"/>
      <c r="X39"/>
      <c r="Y39"/>
      <c r="Z39"/>
    </row>
    <row r="40">
      <c r="B40" s="177"/>
      <c r="C40" s="365" t="s">
        <v>605</v>
      </c>
      <c r="D40" s="367" t="s">
        <v>534</v>
      </c>
      <c r="E40" s="367"/>
      <c r="F40" s="367"/>
      <c r="G40" s="367"/>
      <c r="H40" s="474" t="s">
        <v>535</v>
      </c>
      <c r="I40" s="474"/>
      <c r="J40" s="474"/>
      <c r="K40" s="474"/>
      <c r="L40"/>
      <c r="M40"/>
      <c r="N40" s="257" t="s">
        <v>606</v>
      </c>
      <c r="O40"/>
      <c r="P40"/>
      <c r="Q40"/>
      <c r="R40"/>
      <c r="S40"/>
      <c r="T40"/>
      <c r="U40"/>
      <c r="V40"/>
      <c r="W40"/>
      <c r="X40"/>
      <c r="Y40"/>
      <c r="Z40"/>
    </row>
    <row r="41">
      <c r="B41" s="256"/>
      <c r="C41" s="366"/>
      <c r="D41" s="251" t="s">
        <v>542</v>
      </c>
      <c r="E41" s="251" t="s">
        <v>543</v>
      </c>
      <c r="F41" s="251" t="s">
        <v>544</v>
      </c>
      <c r="G41" s="251" t="s">
        <v>545</v>
      </c>
      <c r="H41" s="475" t="s">
        <v>542</v>
      </c>
      <c r="I41" s="475" t="s">
        <v>543</v>
      </c>
      <c r="J41" s="475" t="s">
        <v>544</v>
      </c>
      <c r="K41" s="475" t="s">
        <v>545</v>
      </c>
      <c r="L41"/>
      <c r="M41"/>
      <c r="N41" s="260" t="s">
        <v>605</v>
      </c>
      <c r="O41" s="260" t="s">
        <v>607</v>
      </c>
      <c r="P41" s="260" t="s">
        <v>8</v>
      </c>
      <c r="Q41" s="260" t="s">
        <v>608</v>
      </c>
      <c r="R41"/>
      <c r="S41"/>
      <c r="T41"/>
      <c r="U41"/>
      <c r="V41"/>
      <c r="W41"/>
      <c r="X41"/>
      <c r="Y41"/>
      <c r="Z41"/>
    </row>
    <row r="42">
      <c r="B42" s="177"/>
      <c r="C42" s="245" t="s">
        <v>587</v>
      </c>
      <c r="D42" s="252" t="n">
        <f>(O28*$I$10-$D$30)*1000/$D$29</f>
        <v>101.63196810220082</v>
      </c>
      <c r="E42" s="253" t="n">
        <f>(P28*$J$10-$D$30)*1000/$D$29</f>
        <v>134.63869155046243</v>
      </c>
      <c r="F42" s="253" t="n">
        <f>(Q28*$K$10-$D$30)*1000/$D$29</f>
        <v>277.27958661408616</v>
      </c>
      <c r="G42" s="253" t="n">
        <f>R28*$D$34</f>
        <v>303.5761290083332</v>
      </c>
      <c r="H42" s="476" t="n">
        <f>(S28*$L$10-$D$30)*1000/$D$29</f>
        <v>95.89876842189142</v>
      </c>
      <c r="I42" s="383" t="n">
        <f>(T28*$M$10-$D$30)*1000/$D$29</f>
        <v>122.27641690139632</v>
      </c>
      <c r="J42" s="476" t="n">
        <f>(U28*$N$10-$D$30)*1000/$D$29</f>
        <v>152.36489338933194</v>
      </c>
      <c r="K42" s="476" t="n">
        <f>V28*((Forecasts!$L$43*1000/'Buyback &amp; Share Count'!$L$18))</f>
        <v>176.63091824129756</v>
      </c>
      <c r="L42"/>
      <c r="M42"/>
      <c r="N42" s="258" t="s">
        <v>609</v>
      </c>
      <c r="O42" s="259">
        <v>0.1</v>
      </c>
      <c r="P42" s="253" t="n">
        <f>H48</f>
        <v>149.98152123656538</v>
      </c>
      <c r="Q42" s="253" t="n">
        <f>O42*P42</f>
        <v>14.998152123656538</v>
      </c>
      <c r="R42"/>
      <c r="S42"/>
      <c r="T42"/>
      <c r="U42"/>
      <c r="V42"/>
      <c r="W42"/>
      <c r="X42"/>
      <c r="Y42"/>
      <c r="Z42"/>
    </row>
    <row r="43">
      <c r="B43" s="177"/>
      <c r="C43" s="245" t="s">
        <v>589</v>
      </c>
      <c r="D43" s="252" t="n">
        <f t="shared" ref="D43:D49" si="11">(O29*$I$10-$D$30)*1000/$D$29</f>
        <v>84.81727970359917</v>
      </c>
      <c r="E43" s="253" t="n">
        <f t="shared" ref="E43:E49" si="12">(P29*$J$10-$D$30)*1000/$D$29</f>
        <v>128.7672533596878</v>
      </c>
      <c r="F43" s="253" t="n">
        <f t="shared" ref="F43:F49" si="13">(Q29*$K$10-$D$30)*1000/$D$29</f>
        <v>237.77850282537332</v>
      </c>
      <c r="G43" s="253" t="n">
        <f t="shared" ref="G43:G49" si="14">R29*$D$34</f>
        <v>200.0541911</v>
      </c>
      <c r="H43" s="476" t="n">
        <f t="shared" ref="H43:H49" si="15">(S29*$L$10-$D$30)*1000/$D$29</f>
        <v>79.33030120595885</v>
      </c>
      <c r="I43" s="383" t="n">
        <f t="shared" ref="I43:I49" si="16">(T29*$M$10-$D$30)*1000/$D$29</f>
        <v>110.274612970922</v>
      </c>
      <c r="J43" s="476" t="n">
        <f t="shared" ref="J43:J49" si="17">(U29*$N$10-$D$30)*1000/$D$29</f>
        <v>176.96746897117535</v>
      </c>
      <c r="K43" s="476" t="n">
        <f>V29*((Forecasts!$L$43*1000/'Buyback &amp; Share Count'!$L$18))</f>
        <v>199.09876764379217</v>
      </c>
      <c r="L43"/>
      <c r="M43"/>
      <c r="N43" s="258" t="s">
        <v>610</v>
      </c>
      <c r="O43" s="259">
        <v>0.2</v>
      </c>
      <c r="P43" s="279" t="n">
        <f>I48</f>
        <v>181.96739934934416</v>
      </c>
      <c r="Q43" s="253" t="n">
        <f t="shared" ref="Q43:Q45" si="18">O43*P43</f>
        <v>36.393479869868834</v>
      </c>
      <c r="R43"/>
      <c r="S43"/>
      <c r="T43"/>
      <c r="U43"/>
      <c r="V43"/>
      <c r="W43"/>
      <c r="X43"/>
      <c r="Y43"/>
      <c r="Z43"/>
    </row>
    <row r="44">
      <c r="B44" s="177"/>
      <c r="C44" s="245" t="s">
        <v>591</v>
      </c>
      <c r="D44" s="252">
        <f t="shared" si="11"/>
        <v>6.1666966997370984</v>
      </c>
      <c r="E44" s="253">
        <f t="shared" si="12"/>
        <v>31.256460868591851</v>
      </c>
      <c r="F44" s="253">
        <f t="shared" si="13"/>
        <v>211.85695008598373</v>
      </c>
      <c r="G44" s="253">
        <f t="shared" si="14"/>
        <v>93.005265220000013</v>
      </c>
      <c r="H44" s="476">
        <f t="shared" si="15"/>
        <v>6.2612574835522139</v>
      </c>
      <c r="I44" s="383">
        <f t="shared" si="16"/>
        <v>29.341932321338994</v>
      </c>
      <c r="J44" s="476">
        <f t="shared" si="17"/>
        <v>56.967710439633365</v>
      </c>
      <c r="K44" s="476" t="n">
        <f>V30*((Forecasts!$L$43*1000/'Buyback &amp; Share Count'!$L$18))</f>
        <v>78.79609984412092</v>
      </c>
      <c r="L44"/>
      <c r="M44"/>
      <c r="N44" s="258" t="s">
        <v>611</v>
      </c>
      <c r="O44" s="259">
        <v>0.3</v>
      </c>
      <c r="P44" s="253" t="n">
        <f>J49</f>
        <v>215.4240295377344</v>
      </c>
      <c r="Q44" s="253">
        <f t="shared" si="18"/>
        <v>64.627208861320327</v>
      </c>
      <c r="R44"/>
      <c r="S44"/>
      <c r="T44"/>
      <c r="U44"/>
      <c r="V44"/>
      <c r="W44"/>
      <c r="X44"/>
      <c r="Y44"/>
      <c r="Z44"/>
    </row>
    <row r="45">
      <c r="B45" s="177"/>
      <c r="C45" s="245" t="s">
        <v>593</v>
      </c>
      <c r="D45" s="252">
        <f t="shared" si="11"/>
        <v>-1.7087866196849268</v>
      </c>
      <c r="E45" s="253">
        <f t="shared" si="12"/>
        <v>14.799160884698258</v>
      </c>
      <c r="F45" s="253">
        <f t="shared" si="13"/>
        <v>40.973890837532259</v>
      </c>
      <c r="G45" s="253">
        <f t="shared" si="14"/>
        <v>65.506465300000002</v>
      </c>
      <c r="H45" s="476">
        <f t="shared" si="15"/>
        <v>-1.7884803596876397</v>
      </c>
      <c r="I45" s="383">
        <f t="shared" si="16"/>
        <v>13.158665642341452</v>
      </c>
      <c r="J45" s="476">
        <f t="shared" si="17"/>
        <v>26.886082438363584</v>
      </c>
      <c r="K45" s="476" t="n">
        <f>V31*((Forecasts!$L$43*1000/'Buyback &amp; Share Count'!$L$18))</f>
        <v>61.30809032098631</v>
      </c>
      <c r="L45"/>
      <c r="M45"/>
      <c r="N45" s="258" t="s">
        <v>612</v>
      </c>
      <c r="O45" s="259">
        <v>0.4</v>
      </c>
      <c r="P45" s="253" t="n">
        <f>K49</f>
        <v>242.46005053620857</v>
      </c>
      <c r="Q45" s="280">
        <f t="shared" si="18"/>
        <v>96.984020214483436</v>
      </c>
      <c r="R45"/>
      <c r="S45"/>
      <c r="T45"/>
      <c r="U45"/>
      <c r="V45"/>
      <c r="W45"/>
      <c r="X45"/>
      <c r="Y45"/>
      <c r="Z45"/>
    </row>
    <row r="46">
      <c r="B46" s="177"/>
      <c r="C46" s="245" t="s">
        <v>595</v>
      </c>
      <c r="D46" s="252">
        <f t="shared" si="11"/>
        <v>173.23092165404861</v>
      </c>
      <c r="E46" s="253">
        <f t="shared" si="12"/>
        <v>212.17536456186534</v>
      </c>
      <c r="F46" s="253">
        <f t="shared" si="13"/>
        <v>326.34656401016304</v>
      </c>
      <c r="G46" s="253">
        <f t="shared" si="14"/>
        <v>453.98388885714274</v>
      </c>
      <c r="H46" s="476">
        <f t="shared" si="15"/>
        <v>163.12690162564579</v>
      </c>
      <c r="I46" s="383">
        <f t="shared" si="16"/>
        <v>191.97728033643929</v>
      </c>
      <c r="J46" s="476">
        <f t="shared" si="17"/>
        <v>223.91278060160587</v>
      </c>
      <c r="K46" s="476" t="n">
        <f>V32*((Forecasts!$L$43*1000/'Buyback &amp; Share Count'!$L$18))</f>
        <v>250.00703203918005</v>
      </c>
      <c r="L46"/>
      <c r="M46"/>
      <c r="N46" s="363" t="s">
        <v>613</v>
      </c>
      <c r="O46" s="363"/>
      <c r="P46" s="363"/>
      <c r="Q46" s="253" t="n">
        <f>SUM(Q42:Q45)</f>
        <v>213.00286106932913</v>
      </c>
      <c r="R46"/>
      <c r="S46"/>
      <c r="T46"/>
      <c r="U46"/>
      <c r="V46"/>
      <c r="W46"/>
      <c r="X46"/>
      <c r="Y46"/>
      <c r="Z46"/>
    </row>
    <row r="47">
      <c r="B47" s="177"/>
      <c r="C47" s="245" t="s">
        <v>597</v>
      </c>
      <c r="D47" s="252">
        <f t="shared" si="11"/>
        <v>156.11234566998581</v>
      </c>
      <c r="E47" s="253">
        <f t="shared" si="12"/>
        <v>203.20965196694041</v>
      </c>
      <c r="F47" s="253">
        <f t="shared" si="13"/>
        <v>298.68590759961137</v>
      </c>
      <c r="G47" s="253">
        <f t="shared" si="14"/>
        <v>314.42351650000001</v>
      </c>
      <c r="H47" s="476">
        <f t="shared" si="15"/>
        <v>148.11641698537107</v>
      </c>
      <c r="I47" s="383">
        <f t="shared" si="16"/>
        <v>167.14039777245969</v>
      </c>
      <c r="J47" s="476">
        <f t="shared" si="17"/>
        <v>227.71113918825267</v>
      </c>
      <c r="K47" s="476" t="n">
        <f>V33*((Forecasts!$L$43*1000/'Buyback &amp; Share Count'!$L$18))</f>
        <v>257.30753168869967</v>
      </c>
      <c r="L47"/>
      <c r="M47"/>
      <c r="N47"/>
      <c r="O47"/>
      <c r="P47"/>
      <c r="Q47"/>
      <c r="R47"/>
      <c r="S47"/>
      <c r="T47"/>
      <c r="U47"/>
      <c r="V47"/>
      <c r="W47"/>
      <c r="X47"/>
      <c r="Y47"/>
      <c r="Z47"/>
    </row>
    <row r="48">
      <c r="B48" s="177"/>
      <c r="C48" s="245" t="s">
        <v>599</v>
      </c>
      <c r="D48" s="252">
        <f t="shared" si="11"/>
        <v>158.86611788284981</v>
      </c>
      <c r="E48" s="253">
        <f t="shared" si="12"/>
        <v>200.88089622485879</v>
      </c>
      <c r="F48" s="253">
        <f t="shared" si="13"/>
        <v>369.71891395902202</v>
      </c>
      <c r="G48" s="253">
        <f t="shared" si="14"/>
        <v>424.69175527499993</v>
      </c>
      <c r="H48" s="476">
        <f t="shared" si="15"/>
        <v>149.98152123656538</v>
      </c>
      <c r="I48" s="383">
        <f t="shared" si="16"/>
        <v>181.96739934934416</v>
      </c>
      <c r="J48" s="476">
        <f t="shared" si="17"/>
        <v>221.78083837378665</v>
      </c>
      <c r="K48" s="476" t="n">
        <f>V34*((Forecasts!$L$43*1000/'Buyback &amp; Share Count'!$L$18))</f>
        <v>245.08810567774455</v>
      </c>
      <c r="L48"/>
      <c r="M48"/>
      <c r="N48"/>
      <c r="O48"/>
      <c r="P48"/>
      <c r="Q48"/>
      <c r="R48"/>
      <c r="S48"/>
      <c r="T48"/>
      <c r="U48"/>
      <c r="V48"/>
      <c r="W48"/>
      <c r="X48"/>
      <c r="Y48"/>
      <c r="Z48"/>
    </row>
    <row r="49">
      <c r="B49" s="177"/>
      <c r="C49" s="245" t="s">
        <v>601</v>
      </c>
      <c r="D49" s="252">
        <f t="shared" si="11"/>
        <v>131.17526498775467</v>
      </c>
      <c r="E49" s="253">
        <f t="shared" si="12"/>
        <v>176.37577802649992</v>
      </c>
      <c r="F49" s="253">
        <f t="shared" si="13"/>
        <v>309.26012115394889</v>
      </c>
      <c r="G49" s="253">
        <f t="shared" si="14"/>
        <v>267.03516834999999</v>
      </c>
      <c r="H49" s="476">
        <f t="shared" si="15"/>
        <v>128.62716507487474</v>
      </c>
      <c r="I49" s="383">
        <f t="shared" si="16"/>
        <v>163.54840993024402</v>
      </c>
      <c r="J49" s="476">
        <f t="shared" si="17"/>
        <v>215.42402953773441</v>
      </c>
      <c r="K49" s="476" t="n">
        <f>V35*((Forecasts!$L$43*1000/'Buyback &amp; Share Count'!$L$18))</f>
        <v>242.46005053620857</v>
      </c>
      <c r="L49"/>
      <c r="M49"/>
      <c r="N49"/>
      <c r="O49"/>
      <c r="P49"/>
      <c r="Q49"/>
      <c r="R49"/>
      <c r="S49"/>
      <c r="T49"/>
      <c r="U49"/>
      <c r="V49"/>
      <c r="W49"/>
      <c r="X49"/>
      <c r="Y49"/>
      <c r="Z49"/>
    </row>
    <row r="50">
      <c r="E50"/>
      <c r="F50"/>
      <c r="G50"/>
      <c r="H50"/>
      <c r="I50"/>
      <c r="J50"/>
      <c r="K50"/>
      <c r="L50"/>
      <c r="M50"/>
      <c r="N50"/>
      <c r="O50"/>
      <c r="P50"/>
      <c r="Q50"/>
      <c r="R50"/>
      <c r="S50"/>
      <c r="T50"/>
      <c r="U50"/>
      <c r="V50"/>
      <c r="W50"/>
      <c r="X50"/>
      <c r="Y50"/>
      <c r="Z50"/>
    </row>
    <row r="51">
      <c r="E51"/>
      <c r="F51"/>
      <c r="G51"/>
      <c r="H51"/>
      <c r="I51"/>
      <c r="J51"/>
      <c r="K51"/>
      <c r="L51"/>
      <c r="M51"/>
      <c r="N51"/>
      <c r="O51"/>
      <c r="P51"/>
      <c r="Q51"/>
      <c r="R51"/>
      <c r="S51"/>
      <c r="T51"/>
      <c r="U51"/>
      <c r="V51"/>
      <c r="W51"/>
      <c r="X51"/>
      <c r="Y51"/>
      <c r="Z51"/>
    </row>
    <row r="52">
      <c r="E52"/>
      <c r="F52"/>
      <c r="G52"/>
      <c r="H52"/>
      <c r="I52"/>
      <c r="J52"/>
      <c r="K52"/>
      <c r="L52"/>
      <c r="M52"/>
      <c r="N52"/>
      <c r="O52"/>
      <c r="P52"/>
      <c r="Q52"/>
      <c r="R52"/>
      <c r="S52"/>
      <c r="T52"/>
      <c r="U52"/>
      <c r="V52"/>
      <c r="W52"/>
      <c r="X52"/>
      <c r="Y52"/>
      <c r="Z52"/>
    </row>
    <row r="53">
      <c r="E53"/>
      <c r="F53"/>
      <c r="G53"/>
      <c r="H53"/>
      <c r="I53"/>
      <c r="J53"/>
      <c r="K53"/>
      <c r="L53"/>
      <c r="M53"/>
      <c r="N53"/>
      <c r="O53"/>
      <c r="P53"/>
      <c r="Q53"/>
      <c r="R53"/>
      <c r="S53"/>
      <c r="T53"/>
      <c r="U53"/>
      <c r="V53"/>
      <c r="W53"/>
      <c r="X53"/>
      <c r="Y53"/>
      <c r="Z53"/>
    </row>
    <row r="54">
      <c r="E54"/>
      <c r="F54"/>
      <c r="G54"/>
      <c r="H54"/>
      <c r="I54"/>
      <c r="J54"/>
      <c r="K54"/>
      <c r="L54"/>
      <c r="M54"/>
      <c r="N54"/>
      <c r="O54"/>
      <c r="P54"/>
      <c r="Q54"/>
      <c r="R54"/>
      <c r="S54"/>
      <c r="T54"/>
      <c r="U54"/>
      <c r="V54"/>
      <c r="W54"/>
      <c r="X54"/>
      <c r="Y54"/>
      <c r="Z54"/>
    </row>
    <row r="55">
      <c r="E55"/>
      <c r="F55"/>
      <c r="G55"/>
      <c r="H55"/>
      <c r="I55"/>
      <c r="J55"/>
      <c r="K55"/>
      <c r="L55"/>
      <c r="M55"/>
      <c r="N55"/>
      <c r="O55"/>
      <c r="P55"/>
      <c r="Q55"/>
      <c r="R55"/>
      <c r="S55"/>
      <c r="T55"/>
      <c r="U55"/>
      <c r="V55"/>
      <c r="W55"/>
      <c r="X55"/>
      <c r="Y55"/>
      <c r="Z55"/>
    </row>
    <row r="56">
      <c r="E56"/>
      <c r="F56"/>
      <c r="G56"/>
      <c r="H56"/>
      <c r="I56"/>
      <c r="J56"/>
      <c r="K56"/>
      <c r="L56"/>
      <c r="M56"/>
      <c r="N56"/>
      <c r="O56"/>
      <c r="P56"/>
      <c r="Q56"/>
      <c r="R56"/>
      <c r="S56"/>
      <c r="T56"/>
      <c r="U56"/>
      <c r="V56"/>
      <c r="W56"/>
      <c r="X56"/>
      <c r="Y56"/>
      <c r="Z56"/>
    </row>
    <row r="57">
      <c r="E57"/>
      <c r="F57"/>
      <c r="G57"/>
      <c r="H57"/>
      <c r="I57"/>
      <c r="J57"/>
      <c r="K57"/>
      <c r="L57"/>
      <c r="M57"/>
      <c r="N57"/>
      <c r="O57"/>
      <c r="P57"/>
      <c r="Q57"/>
      <c r="R57"/>
      <c r="S57"/>
      <c r="T57"/>
      <c r="U57"/>
      <c r="V57"/>
      <c r="W57"/>
      <c r="X57"/>
      <c r="Y57"/>
      <c r="Z57"/>
    </row>
    <row r="58">
      <c r="E58"/>
      <c r="F58"/>
      <c r="G58"/>
      <c r="H58"/>
      <c r="I58"/>
      <c r="J58"/>
      <c r="K58"/>
      <c r="L58"/>
      <c r="M58"/>
      <c r="N58"/>
      <c r="O58"/>
      <c r="P58"/>
      <c r="Q58"/>
      <c r="R58"/>
      <c r="S58"/>
      <c r="T58"/>
      <c r="U58"/>
      <c r="V58"/>
      <c r="W58"/>
      <c r="X58"/>
      <c r="Y58"/>
      <c r="Z58"/>
    </row>
    <row r="59">
      <c r="E59"/>
      <c r="F59"/>
      <c r="G59"/>
      <c r="H59"/>
      <c r="I59"/>
      <c r="J59"/>
      <c r="K59"/>
      <c r="L59"/>
      <c r="M59"/>
      <c r="N59"/>
      <c r="O59"/>
      <c r="P59"/>
      <c r="Q59"/>
      <c r="R59"/>
      <c r="S59"/>
      <c r="T59"/>
      <c r="U59"/>
      <c r="V59"/>
      <c r="W59"/>
      <c r="X59"/>
      <c r="Y59"/>
      <c r="Z59"/>
    </row>
  </sheetData>
  <mergeCells>
    <mergeCell ref="N46:P46"/>
    <mergeCell ref="A1:Z3"/>
    <mergeCell ref="A4:G4"/>
    <mergeCell ref="H4:N4"/>
    <mergeCell ref="O4:Z4"/>
    <mergeCell ref="A5:Z5"/>
    <mergeCell ref="L8:N8"/>
    <mergeCell ref="O8:R8"/>
    <mergeCell ref="S8:V8"/>
    <mergeCell ref="C40:C41"/>
    <mergeCell ref="D40:G40"/>
    <mergeCell ref="H40:K40"/>
    <mergeCell ref="C8:H8"/>
    <mergeCell ref="I8:K8"/>
  </mergeCells>
  <pageMargins left="0.7" right="0.7" top="0.75" bottom="0.75" header="0.3" footer="0.3"/>
  <drawing r:id="R336d2cbf78bd4e83"/>
</worksheet>
</file>

<file path=xl/worksheets/sheet23.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83203125" style="11" customWidth="1"/>
    <col min="2" max="2" width="1.83203125" style="11" customWidth="1"/>
    <col min="3" max="4" width="10.83203125" style="11" customWidth="1"/>
    <col min="5" max="5" width="25.33203125" style="11" customWidth="1"/>
    <col min="6" max="7" width="13.83203125" style="11" customWidth="1"/>
    <col min="8" max="22" width="10.83203125" style="11" customWidth="1"/>
  </cols>
  <sheetData>
    <row r="1" ht="15.75" customHeight="1">
      <c r="A1" s="318" t="s">
        <v>614</v>
      </c>
      <c r="B1" s="318"/>
      <c r="C1" s="318"/>
      <c r="D1" s="318"/>
      <c r="E1" s="318"/>
      <c r="F1" s="318"/>
      <c r="G1" s="318"/>
      <c r="H1" s="318"/>
      <c r="I1" s="318"/>
      <c r="J1" s="318"/>
      <c r="K1" s="318"/>
      <c r="L1" s="318"/>
      <c r="M1" s="318"/>
      <c r="N1" s="318"/>
      <c r="O1" s="318"/>
      <c r="P1" s="318"/>
      <c r="Q1" s="318"/>
      <c r="R1" s="318"/>
      <c r="S1" s="318"/>
      <c r="T1" s="318"/>
      <c r="U1" s="318"/>
      <c r="V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row>
    <row r="4" ht="4.5" customHeight="1">
      <c r="A4" s="308"/>
      <c r="B4" s="308"/>
      <c r="C4" s="308"/>
      <c r="D4" s="308"/>
      <c r="E4" s="308"/>
      <c r="F4" s="308"/>
      <c r="G4" s="308"/>
      <c r="H4" s="308"/>
      <c r="I4" s="294"/>
      <c r="J4" s="294"/>
      <c r="K4" s="294"/>
      <c r="L4" s="294"/>
      <c r="M4" s="294"/>
      <c r="N4" s="294"/>
      <c r="O4" s="294"/>
      <c r="P4" s="309"/>
      <c r="Q4" s="309"/>
      <c r="R4" s="309"/>
      <c r="S4" s="309"/>
      <c r="T4" s="309"/>
      <c r="U4" s="309"/>
      <c r="V4" s="309"/>
    </row>
    <row r="5" ht="1.5" customHeight="1">
      <c r="A5" s="312"/>
      <c r="B5" s="312"/>
      <c r="C5" s="312"/>
      <c r="D5" s="312"/>
      <c r="E5" s="312"/>
      <c r="F5" s="312"/>
      <c r="G5" s="312"/>
      <c r="H5" s="312"/>
      <c r="I5" s="312"/>
      <c r="J5" s="312"/>
      <c r="K5" s="312"/>
      <c r="L5" s="312"/>
      <c r="M5" s="312"/>
      <c r="N5" s="312"/>
      <c r="O5" s="312"/>
      <c r="P5" s="312"/>
      <c r="Q5" s="312"/>
      <c r="R5" s="312"/>
      <c r="S5" s="312"/>
      <c r="T5" s="312"/>
      <c r="U5" s="312"/>
      <c r="V5" s="312"/>
    </row>
    <row r="6" ht="15.75" customHeight="1">
      <c r="V6" s="11" t="s">
        <v>49</v>
      </c>
    </row>
    <row r="8" ht="15.75" customHeight="1">
      <c r="B8" s="395"/>
      <c r="C8" s="393"/>
      <c r="D8" s="393"/>
      <c r="E8" s="393"/>
      <c r="F8" s="389" t="s">
        <v>362</v>
      </c>
      <c r="G8" s="1"/>
      <c r="H8" s="379" t="s">
        <v>44</v>
      </c>
      <c r="I8" s="379" t="s">
        <v>45</v>
      </c>
      <c r="J8" s="379" t="s">
        <v>46</v>
      </c>
      <c r="K8" s="379" t="s">
        <v>47</v>
      </c>
      <c r="L8" s="379" t="s">
        <v>48</v>
      </c>
      <c r="M8" s="95" t="s">
        <v>257</v>
      </c>
      <c r="N8" s="95" t="s">
        <v>258</v>
      </c>
      <c r="O8" s="95" t="s">
        <v>259</v>
      </c>
      <c r="P8" s="95" t="s">
        <v>260</v>
      </c>
      <c r="Q8" s="95" t="s">
        <v>261</v>
      </c>
      <c r="R8" s="95" t="s">
        <v>262</v>
      </c>
      <c r="S8" s="95" t="s">
        <v>263</v>
      </c>
      <c r="T8" s="95" t="s">
        <v>264</v>
      </c>
      <c r="U8" s="95" t="s">
        <v>265</v>
      </c>
      <c r="V8" s="95" t="s">
        <v>266</v>
      </c>
    </row>
    <row r="9" ht="15.75" customHeight="1">
      <c r="B9" s="395" t="s">
        <v>615</v>
      </c>
      <c r="C9" s="129"/>
      <c r="D9" s="129"/>
      <c r="E9" s="129"/>
      <c r="F9" s="394"/>
      <c r="G9" s="282"/>
      <c r="H9" s="380"/>
      <c r="I9" s="380"/>
      <c r="J9" s="380"/>
      <c r="K9" s="380"/>
      <c r="L9" s="177"/>
      <c r="M9" s="382"/>
      <c r="N9" s="382"/>
      <c r="O9" s="382"/>
      <c r="P9" s="382"/>
      <c r="Q9" s="382"/>
      <c r="R9" s="382"/>
      <c r="S9" s="382"/>
      <c r="T9" s="382"/>
      <c r="U9" s="382"/>
      <c r="V9" s="382"/>
    </row>
    <row r="10" ht="15.75" customHeight="1">
      <c r="B10" s="145" t="s">
        <v>616</v>
      </c>
      <c r="C10" s="52"/>
      <c r="F10" s="177"/>
      <c r="H10" s="254">
        <v>1.36</v>
      </c>
      <c r="I10" s="254">
        <v>1.81</v>
      </c>
      <c r="J10" s="254">
        <v>2.44</v>
      </c>
      <c r="K10" s="254">
        <v>2.99</v>
      </c>
      <c r="L10" s="254">
        <v>3.62</v>
      </c>
      <c r="M10" s="383" t="n">
        <f>L10*(1+$F$12)</f>
        <v>4.30492975630985</v>
      </c>
      <c r="N10" s="383" t="n">
        <f t="shared" ref="N10:V10" si="0">M10*(1+$F$12)</f>
        <v>5.119453095790603</v>
      </c>
      <c r="O10" s="383">
        <f t="shared" si="0"/>
        <v>6.0880900464368919</v>
      </c>
      <c r="P10" s="383">
        <f t="shared" si="0"/>
        <v>7.2399999999999984</v>
      </c>
      <c r="Q10" s="383">
        <f t="shared" si="0"/>
        <v>8.609859512619698</v>
      </c>
      <c r="R10" s="383">
        <f t="shared" si="0"/>
        <v>10.238906191581204</v>
      </c>
      <c r="S10" s="383">
        <f t="shared" si="0"/>
        <v>12.176180092873782</v>
      </c>
      <c r="T10" s="383">
        <f t="shared" si="0"/>
        <v>14.479999999999993</v>
      </c>
      <c r="U10" s="383">
        <f t="shared" si="0"/>
        <v>17.219719025239392</v>
      </c>
      <c r="V10" s="383">
        <f t="shared" si="0"/>
        <v>20.477812383162405</v>
      </c>
    </row>
    <row r="11" ht="15.75" customHeight="1">
      <c r="C11" s="52" t="s">
        <v>617</v>
      </c>
      <c r="D11" s="52"/>
      <c r="E11" s="52"/>
      <c r="F11" s="390"/>
      <c r="G11" s="24"/>
      <c r="H11" s="380"/>
      <c r="I11" s="381" t="n">
        <f>I10/H10-1</f>
        <v>0.3308823529411764</v>
      </c>
      <c r="J11" s="381" t="n">
        <f>J10/I10-1</f>
        <v>0.3480662983425413</v>
      </c>
      <c r="K11" s="381" t="n">
        <f t="shared" ref="K11:V11" si="1">K10/J10-1</f>
        <v>0.22540983606557385</v>
      </c>
      <c r="L11" s="381">
        <f t="shared" si="1"/>
        <v>0.21070234113712361</v>
      </c>
      <c r="M11" s="384" t="n">
        <f>M10/L10-1</f>
        <v>0.18920711500272103</v>
      </c>
      <c r="N11" s="384">
        <f t="shared" si="1"/>
        <v>0.18920711500272103</v>
      </c>
      <c r="O11" s="384">
        <f t="shared" si="1"/>
        <v>0.18920711500272103</v>
      </c>
      <c r="P11" s="384">
        <f t="shared" si="1"/>
        <v>0.18920711500272103</v>
      </c>
      <c r="Q11" s="384">
        <f t="shared" si="1"/>
        <v>0.18920711500272103</v>
      </c>
      <c r="R11" s="384">
        <f t="shared" si="1"/>
        <v>0.18920711500272103</v>
      </c>
      <c r="S11" s="384">
        <f t="shared" si="1"/>
        <v>0.18920711500272103</v>
      </c>
      <c r="T11" s="384">
        <f t="shared" si="1"/>
        <v>0.18920711500272103</v>
      </c>
      <c r="U11" s="384">
        <f t="shared" si="1"/>
        <v>0.18920711500272103</v>
      </c>
      <c r="V11" s="384">
        <f t="shared" si="1"/>
        <v>0.18920711500272103</v>
      </c>
    </row>
    <row r="12" ht="15.75" customHeight="1">
      <c r="C12" s="52" t="s">
        <v>618</v>
      </c>
      <c r="F12" s="388" t="n">
        <f>(L10/I10)^(1/4)-1</f>
        <v>0.18920711500272103</v>
      </c>
      <c r="G12" s="122"/>
      <c r="H12" s="380"/>
      <c r="I12" s="380"/>
      <c r="J12" s="387"/>
      <c r="K12" s="381"/>
      <c r="L12" s="388"/>
      <c r="M12" s="382"/>
      <c r="N12" s="382"/>
      <c r="O12" s="382"/>
      <c r="P12" s="382"/>
      <c r="Q12" s="382"/>
      <c r="R12" s="382"/>
      <c r="S12" s="382"/>
      <c r="T12" s="382"/>
      <c r="U12" s="382"/>
      <c r="V12" s="382"/>
    </row>
    <row r="13" ht="15.75" customHeight="1">
      <c r="C13" s="19" t="s">
        <v>497</v>
      </c>
      <c r="F13" s="177"/>
      <c r="H13" s="380"/>
      <c r="I13" s="380"/>
      <c r="J13" s="380"/>
      <c r="K13" s="380"/>
      <c r="L13" s="380"/>
      <c r="M13" s="385" t="n">
        <f>1/(1+WACC!$G$16)^1</f>
        <v>0.9442044514925091</v>
      </c>
      <c r="N13" s="385" t="n">
        <f>1/(1+WACC!$G$16)^2</f>
        <v>0.8915220462182699</v>
      </c>
      <c r="O13" s="385" t="n">
        <f>1/(1+WACC!$G$16)^3</f>
        <v>0.8417790846430009</v>
      </c>
      <c r="P13" s="385" t="n">
        <f>1/(1+WACC!$G$16)^4</f>
        <v>0.7948115588932111</v>
      </c>
      <c r="Q13" s="385" t="n">
        <f>1/(1+WACC!$G$16)^5</f>
        <v>0.7504646120046704</v>
      </c>
      <c r="R13" s="385" t="n">
        <f>1/(1+WACC!$G$16)^6</f>
        <v>0.7085920273424086</v>
      </c>
      <c r="S13" s="385" t="n">
        <f>1/(1+WACC!$G$16)^7</f>
        <v>0.6690557465088038</v>
      </c>
      <c r="T13" s="385" t="n">
        <f>1/(1+WACC!$G$16)^8</f>
        <v>0.6317254141502563</v>
      </c>
      <c r="U13" s="385" t="n">
        <f>1/(1+WACC!$G$16)^9</f>
        <v>0.596477948161621</v>
      </c>
      <c r="V13" s="385" t="n">
        <f>1/(1+WACC!$G$16)^10</f>
        <v>0.5631971338713206</v>
      </c>
    </row>
    <row r="14" ht="15.75" customHeight="1">
      <c r="C14" s="19" t="s">
        <v>619</v>
      </c>
      <c r="D14" s="24"/>
      <c r="E14" s="24"/>
      <c r="F14" s="391"/>
      <c r="G14" s="24"/>
      <c r="H14" s="380"/>
      <c r="I14" s="380"/>
      <c r="J14" s="380"/>
      <c r="K14" s="380"/>
      <c r="L14" s="380"/>
      <c r="M14" s="386" t="n">
        <f>M10*M13</f>
        <v>4.064733839270323</v>
      </c>
      <c r="N14" s="386" t="n">
        <f t="shared" ref="N14:V14" si="2">N10*N13</f>
        <v>4.564105299477695</v>
      </c>
      <c r="O14" s="386">
        <f t="shared" si="2"/>
        <v>5.1248268665138115</v>
      </c>
      <c r="P14" s="386">
        <f t="shared" si="2"/>
        <v>5.7544356863868469</v>
      </c>
      <c r="Q14" s="386">
        <f t="shared" si="2"/>
        <v>6.4613948785528619</v>
      </c>
      <c r="R14" s="386">
        <f t="shared" si="2"/>
        <v>7.2552072960612639</v>
      </c>
      <c r="S14" s="386">
        <f t="shared" si="2"/>
        <v>8.1465432616633038</v>
      </c>
      <c r="T14" s="386">
        <f t="shared" si="2"/>
        <v>9.1473839968957069</v>
      </c>
      <c r="U14" s="386">
        <f t="shared" si="2"/>
        <v>10.271182672094417</v>
      </c>
      <c r="V14" s="386">
        <f t="shared" si="2"/>
        <v>11.533045242151703</v>
      </c>
    </row>
    <row r="15" ht="15.75" customHeight="1">
      <c r="B15" s="12"/>
      <c r="C15" s="11" t="s">
        <v>620</v>
      </c>
      <c r="F15" s="252" t="n">
        <f>SUM(M14:V14)</f>
        <v>72.32285903906794</v>
      </c>
      <c r="G15" s="14"/>
      <c r="H15" s="177"/>
      <c r="I15" s="177"/>
      <c r="J15" s="177"/>
      <c r="K15" s="177"/>
      <c r="L15" s="177"/>
      <c r="M15" s="382"/>
      <c r="N15" s="382"/>
      <c r="O15" s="382"/>
      <c r="P15" s="382"/>
      <c r="Q15" s="382"/>
      <c r="R15" s="382"/>
      <c r="S15" s="382"/>
      <c r="T15" s="382"/>
      <c r="U15" s="382"/>
      <c r="V15" s="382"/>
    </row>
    <row r="16" ht="15.75" customHeight="1">
      <c r="C16" s="11" t="s">
        <v>493</v>
      </c>
      <c r="F16" s="392">
        <v>2.5000000000000001E-2</v>
      </c>
      <c r="G16" s="17"/>
      <c r="H16" s="177"/>
      <c r="I16" s="177"/>
      <c r="J16" s="177"/>
      <c r="K16" s="177"/>
      <c r="L16" s="177"/>
      <c r="M16" s="382"/>
      <c r="N16" s="382"/>
      <c r="O16" s="382"/>
      <c r="P16" s="382"/>
      <c r="Q16" s="382"/>
      <c r="R16" s="382"/>
      <c r="S16" s="382"/>
      <c r="T16" s="382"/>
      <c r="U16" s="382"/>
      <c r="V16" s="382"/>
    </row>
    <row r="17" ht="15.75" customHeight="1">
      <c r="B17" s="12"/>
      <c r="C17" s="11" t="s">
        <v>621</v>
      </c>
      <c r="F17" s="252" t="n">
        <f>(V10*(1+F16))/(WACC!G16-F16)*V13</f>
        <v>346.7424625823393</v>
      </c>
      <c r="H17" s="177"/>
      <c r="I17" s="177"/>
      <c r="J17" s="177"/>
      <c r="K17" s="177"/>
      <c r="L17" s="177"/>
      <c r="M17" s="382"/>
      <c r="N17" s="382"/>
      <c r="O17" s="382"/>
      <c r="P17" s="382"/>
      <c r="Q17" s="382"/>
      <c r="R17" s="382"/>
      <c r="S17" s="382"/>
      <c r="T17" s="382"/>
      <c r="U17" s="382"/>
      <c r="V17" s="382"/>
    </row>
    <row r="18">
      <c r="F18" s="177"/>
      <c r="H18" s="177"/>
      <c r="I18" s="177"/>
      <c r="J18" s="177"/>
      <c r="K18" s="177"/>
      <c r="L18" s="177"/>
      <c r="M18" s="382"/>
      <c r="N18" s="382"/>
      <c r="O18" s="382"/>
      <c r="P18" s="382"/>
      <c r="Q18" s="382"/>
      <c r="R18" s="382"/>
      <c r="S18" s="382"/>
      <c r="T18" s="382"/>
      <c r="U18" s="382"/>
      <c r="V18" s="382"/>
    </row>
    <row r="19" ht="15.75" customHeight="1">
      <c r="B19" s="12" t="s">
        <v>622</v>
      </c>
      <c r="C19" s="12"/>
      <c r="F19" s="252" t="n">
        <f>F17+F15</f>
        <v>419.0653216214072</v>
      </c>
      <c r="G19" s="14"/>
      <c r="H19" s="177"/>
      <c r="I19" s="177"/>
      <c r="J19" s="177"/>
      <c r="K19" s="177"/>
      <c r="L19" s="177"/>
      <c r="M19" s="382"/>
      <c r="N19" s="382"/>
      <c r="O19" s="382"/>
      <c r="P19" s="382"/>
      <c r="Q19" s="382"/>
      <c r="R19" s="382"/>
      <c r="S19" s="382"/>
      <c r="T19" s="382"/>
      <c r="U19" s="382"/>
      <c r="V19" s="382"/>
    </row>
    <row r="20">
      <c r="F20" s="177"/>
      <c r="H20" s="177"/>
      <c r="I20" s="177"/>
      <c r="J20" s="177"/>
      <c r="K20" s="177"/>
      <c r="L20" s="177"/>
      <c r="M20" s="382"/>
      <c r="N20" s="382"/>
      <c r="O20" s="382"/>
      <c r="P20" s="382"/>
      <c r="Q20" s="382"/>
      <c r="R20" s="382"/>
      <c r="S20" s="382"/>
      <c r="T20" s="382"/>
      <c r="U20" s="382"/>
      <c r="V20" s="382"/>
    </row>
    <row r="21">
      <c r="F21" s="177"/>
      <c r="H21" s="177"/>
      <c r="I21" s="177"/>
      <c r="J21" s="177"/>
      <c r="K21" s="177"/>
      <c r="L21" s="177"/>
      <c r="M21" s="382"/>
      <c r="N21" s="382"/>
      <c r="O21" s="382"/>
      <c r="P21" s="382"/>
      <c r="Q21" s="382"/>
      <c r="R21" s="382"/>
      <c r="S21" s="382"/>
      <c r="T21" s="382"/>
      <c r="U21" s="382"/>
      <c r="V21" s="382"/>
    </row>
    <row r="22">
      <c r="B22" s="395" t="s">
        <v>623</v>
      </c>
      <c r="C22" s="129"/>
      <c r="D22" s="129"/>
      <c r="E22" s="129"/>
      <c r="F22" s="394"/>
      <c r="H22" s="177"/>
      <c r="I22" s="177"/>
      <c r="J22" s="177"/>
      <c r="K22" s="177"/>
      <c r="L22" s="177"/>
      <c r="M22" s="382"/>
      <c r="N22" s="382"/>
      <c r="O22" s="382"/>
      <c r="P22" s="382"/>
      <c r="Q22" s="382"/>
      <c r="R22" s="382"/>
      <c r="S22" s="382"/>
      <c r="T22" s="382"/>
      <c r="U22" s="382"/>
      <c r="V22" s="382"/>
    </row>
    <row r="23">
      <c r="B23" s="145" t="s">
        <v>616</v>
      </c>
      <c r="C23" s="52"/>
      <c r="F23" s="177"/>
      <c r="H23" s="177"/>
      <c r="I23" s="177"/>
      <c r="J23" s="177"/>
      <c r="K23" s="177"/>
      <c r="L23" s="177"/>
      <c r="M23" s="386" t="n">
        <f>Forecasts!L43*0.4*1000/'Buyback &amp; Share Count'!L18</f>
        <v>3.9046630249812155</v>
      </c>
      <c r="N23" s="386" t="n">
        <f>Forecasts!M43*0.4*1000/'Buyback &amp; Share Count'!M18</f>
        <v>4.21594486103235</v>
      </c>
      <c r="O23" s="386" t="n">
        <f>Forecasts!N43*0.4*1000/'Buyback &amp; Share Count'!N18</f>
        <v>4.549093122911409</v>
      </c>
      <c r="P23" s="386" t="n">
        <f>Forecasts!O43*0.4*1000/'Buyback &amp; Share Count'!O18</f>
        <v>4.880314372903506</v>
      </c>
      <c r="Q23" s="386" t="n">
        <f>Forecasts!P43*0.4*1000/'Buyback &amp; Share Count'!P18</f>
        <v>5.205703530651271</v>
      </c>
      <c r="R23" s="386" t="n">
        <f>Forecasts!Q43*0.4*1000/'Buyback &amp; Share Count'!Q18</f>
        <v>5.505189711849093</v>
      </c>
      <c r="S23" s="386" t="n">
        <f>Forecasts!R43*0.4*1000/'Buyback &amp; Share Count'!R18</f>
        <v>5.787842293436886</v>
      </c>
      <c r="T23" s="386" t="n">
        <f>Forecasts!S43*0.4*1000/'Buyback &amp; Share Count'!S18</f>
        <v>6.042249786499644</v>
      </c>
      <c r="U23" s="386" t="n">
        <f>Forecasts!T43*0.4*1000/'Buyback &amp; Share Count'!T18</f>
        <v>6.301776110842792</v>
      </c>
      <c r="V23" s="386" t="n">
        <f>Forecasts!U43*0.4*1000/'Buyback &amp; Share Count'!U18</f>
        <v>6.52644802311044</v>
      </c>
    </row>
    <row r="24">
      <c r="C24" s="52" t="s">
        <v>617</v>
      </c>
      <c r="F24" s="177"/>
      <c r="H24" s="177"/>
      <c r="I24" s="177"/>
      <c r="J24" s="177"/>
      <c r="K24" s="177"/>
      <c r="L24" s="177"/>
      <c r="M24" s="396" t="n">
        <f>M23/L10-1</f>
        <v>0.07863619474619221</v>
      </c>
      <c r="N24" s="396" t="n">
        <f>N23/M23-1</f>
        <v>0.07972053774157173</v>
      </c>
      <c r="O24" s="396" t="n">
        <f t="shared" ref="O24:V24" si="3">O23/N23-1</f>
        <v>0.07902101969082254</v>
      </c>
      <c r="P24" s="396">
        <f t="shared" si="3"/>
        <v>7.2810391223672166E-2</v>
      </c>
      <c r="Q24" s="396">
        <f t="shared" si="3"/>
        <v>6.6673810923819188E-2</v>
      </c>
      <c r="R24" s="396">
        <f t="shared" si="3"/>
        <v>5.7530395158779557E-2</v>
      </c>
      <c r="S24" s="396">
        <f t="shared" si="3"/>
        <v>5.1342932102671268E-2</v>
      </c>
      <c r="T24" s="396">
        <f t="shared" si="3"/>
        <v>4.3955498468098098E-2</v>
      </c>
      <c r="U24" s="396">
        <f t="shared" si="3"/>
        <v>4.2951935704977684E-2</v>
      </c>
      <c r="V24" s="396">
        <f t="shared" si="3"/>
        <v>3.5652157156310205E-2</v>
      </c>
    </row>
    <row r="25">
      <c r="C25" s="19" t="s">
        <v>619</v>
      </c>
      <c r="D25" s="24"/>
      <c r="E25" s="24"/>
      <c r="F25" s="391"/>
      <c r="H25" s="177"/>
      <c r="I25" s="177"/>
      <c r="J25" s="177"/>
      <c r="K25" s="177"/>
      <c r="L25" s="177"/>
      <c r="M25" s="386" t="n">
        <f>M23*M13</f>
        <v>3.6868002097654697</v>
      </c>
      <c r="N25" s="386" t="n">
        <f t="shared" ref="N25:V25" si="4">N23*N13</f>
        <v>3.75860778925096</v>
      </c>
      <c r="O25" s="386">
        <f t="shared" si="4"/>
        <v>3.8293314449601361</v>
      </c>
      <c r="P25" s="386">
        <f t="shared" si="4"/>
        <v>3.8789302746163794</v>
      </c>
      <c r="Q25" s="386">
        <f t="shared" si="4"/>
        <v>3.9066962803415493</v>
      </c>
      <c r="R25" s="386">
        <f t="shared" si="4"/>
        <v>3.9009335388237183</v>
      </c>
      <c r="S25" s="386">
        <f t="shared" si="4"/>
        <v>3.8723891463106423</v>
      </c>
      <c r="T25" s="386">
        <f t="shared" si="4"/>
        <v>3.8170427487757852</v>
      </c>
      <c r="U25" s="386">
        <f t="shared" si="4"/>
        <v>3.7588704843694272</v>
      </c>
      <c r="V25" s="386">
        <f t="shared" si="4"/>
        <v>3.6756768209759456</v>
      </c>
    </row>
    <row r="26">
      <c r="B26" s="12"/>
      <c r="C26" s="11" t="s">
        <v>620</v>
      </c>
      <c r="F26" s="252" t="n">
        <f>SUM(M25:V25)</f>
        <v>38.085278738190006</v>
      </c>
      <c r="H26" s="177"/>
      <c r="I26" s="177"/>
      <c r="J26" s="177"/>
      <c r="K26" s="177"/>
      <c r="L26" s="177"/>
      <c r="M26" s="382"/>
      <c r="N26" s="382"/>
      <c r="O26" s="382"/>
      <c r="P26" s="382"/>
      <c r="Q26" s="382"/>
      <c r="R26" s="382"/>
      <c r="S26" s="382"/>
      <c r="T26" s="382"/>
      <c r="U26" s="382"/>
      <c r="V26" s="382"/>
    </row>
    <row r="27">
      <c r="C27" s="11" t="s">
        <v>493</v>
      </c>
      <c r="F27" s="392">
        <v>2.5000000000000001E-2</v>
      </c>
      <c r="H27" s="177"/>
      <c r="I27" s="177"/>
      <c r="J27" s="177"/>
      <c r="K27" s="177"/>
      <c r="L27" s="177"/>
      <c r="M27" s="382"/>
      <c r="N27" s="382"/>
      <c r="O27" s="382"/>
      <c r="P27" s="382"/>
      <c r="Q27" s="382"/>
      <c r="R27" s="382"/>
      <c r="S27" s="382"/>
      <c r="T27" s="382"/>
      <c r="U27" s="382"/>
      <c r="V27" s="382"/>
    </row>
    <row r="28">
      <c r="B28" s="12"/>
      <c r="C28" s="11" t="s">
        <v>621</v>
      </c>
      <c r="F28" s="252" t="n">
        <f>(V23*(1+F27))/(WACC!G16-F27)*V13</f>
        <v>110.50968810075003</v>
      </c>
      <c r="H28" s="177"/>
      <c r="I28" s="177"/>
      <c r="J28" s="177"/>
      <c r="K28" s="177"/>
      <c r="L28" s="177"/>
      <c r="M28" s="382"/>
      <c r="N28" s="382"/>
      <c r="O28" s="382"/>
      <c r="P28" s="382"/>
      <c r="Q28" s="382"/>
      <c r="R28" s="382"/>
      <c r="S28" s="382"/>
      <c r="T28" s="382"/>
      <c r="U28" s="382"/>
      <c r="V28" s="382"/>
    </row>
    <row r="29">
      <c r="F29" s="177"/>
      <c r="H29" s="177"/>
      <c r="I29" s="177"/>
      <c r="J29" s="177"/>
      <c r="K29" s="177"/>
      <c r="L29" s="177"/>
      <c r="M29" s="382"/>
      <c r="N29" s="382"/>
      <c r="O29" s="382"/>
      <c r="P29" s="382"/>
      <c r="Q29" s="382"/>
      <c r="R29" s="382"/>
      <c r="S29" s="382"/>
      <c r="T29" s="382"/>
      <c r="U29" s="382"/>
      <c r="V29" s="382"/>
    </row>
    <row r="30">
      <c r="B30" s="12" t="s">
        <v>622</v>
      </c>
      <c r="C30" s="12"/>
      <c r="F30" s="252" t="n">
        <f>F28+F26</f>
        <v>148.59496683894002</v>
      </c>
      <c r="H30" s="177"/>
      <c r="I30" s="177"/>
      <c r="J30" s="177"/>
      <c r="K30" s="177"/>
      <c r="L30" s="177"/>
      <c r="M30" s="382"/>
      <c r="N30" s="382"/>
      <c r="O30" s="382"/>
      <c r="P30" s="382"/>
      <c r="Q30" s="382"/>
      <c r="R30" s="382"/>
      <c r="S30" s="382"/>
      <c r="T30" s="382"/>
      <c r="U30" s="382"/>
      <c r="V30" s="382"/>
    </row>
    <row r="31">
      <c r="F31" s="177"/>
    </row>
    <row r="32">
      <c r="B32" s="12" t="s">
        <v>624</v>
      </c>
      <c r="F32" s="177"/>
    </row>
    <row r="33">
      <c r="B33" s="397"/>
      <c r="C33" s="397" t="s">
        <v>625</v>
      </c>
      <c r="F33" s="398">
        <v>0.7</v>
      </c>
    </row>
    <row r="34">
      <c r="B34" s="397"/>
      <c r="C34" s="397" t="s">
        <v>626</v>
      </c>
      <c r="F34" s="398" t="n">
        <f>1-F33</f>
        <v>0.30000000000000004</v>
      </c>
    </row>
    <row r="35">
      <c r="B35" s="12" t="s">
        <v>627</v>
      </c>
      <c r="F35" s="399" t="n">
        <f>F19*F33+F30*F34</f>
        <v>337.924215186667</v>
      </c>
    </row>
  </sheetData>
  <mergeCells>
    <mergeCell ref="A1:V3"/>
    <mergeCell ref="A4:H4"/>
    <mergeCell ref="I4:O4"/>
    <mergeCell ref="P4:V4"/>
    <mergeCell ref="A5:V5"/>
  </mergeCells>
  <pageMargins left="0.7" right="0.7" top="0.75" bottom="0.75" header="0.3" footer="0.3"/>
  <drawing r:id="Rd79678f0be8b4eaa"/>
</worksheet>
</file>

<file path=xl/worksheets/sheet24.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2" max="2" width="11.83203125" customWidth="1"/>
    <col min="3" max="3" width="10.83203125" customWidth="1"/>
    <col min="7" max="7" width="13.5" customWidth="1"/>
    <col min="20" max="20" width="10.83203125" customWidth="1"/>
    <col min="24" max="24" width="15.1640625" customWidth="1"/>
    <col min="25" max="25" width="13.5" customWidth="1"/>
    <col min="26" max="26" width="15.1640625" customWidth="1"/>
    <col min="29" max="29" width="16" customWidth="1"/>
    <col min="33" max="33" width="18.6640625" customWidth="1"/>
    <col min="34" max="34" width="17.83203125" customWidth="1"/>
    <col min="36" max="36" width="32.83203125" customWidth="1"/>
    <col min="37" max="37" width="20" customWidth="1"/>
  </cols>
  <sheetData>
    <row r="1" ht="15.75" customHeight="1">
      <c r="A1" s="300" t="s">
        <v>628</v>
      </c>
      <c r="B1" s="300"/>
      <c r="C1" s="300"/>
      <c r="D1" s="300"/>
      <c r="E1" s="300"/>
      <c r="F1" s="300"/>
      <c r="G1" s="300"/>
      <c r="H1" s="300"/>
      <c r="I1" s="300"/>
      <c r="J1" s="300"/>
      <c r="K1" s="300"/>
      <c r="L1" s="300"/>
      <c r="M1" s="300"/>
      <c r="N1" s="300"/>
      <c r="O1" s="300"/>
      <c r="P1" s="300"/>
      <c r="Q1" s="300"/>
      <c r="R1" s="300"/>
      <c r="S1" s="300"/>
      <c r="T1" s="300"/>
      <c r="U1" s="300"/>
    </row>
    <row r="2" ht="15.75" customHeight="1">
      <c r="A2" s="300"/>
      <c r="B2" s="300"/>
      <c r="C2" s="300"/>
      <c r="D2" s="300"/>
      <c r="E2" s="300"/>
      <c r="F2" s="300"/>
      <c r="G2" s="300"/>
      <c r="H2" s="300"/>
      <c r="I2" s="300"/>
      <c r="J2" s="300"/>
      <c r="K2" s="300"/>
      <c r="L2" s="300"/>
      <c r="M2" s="300"/>
      <c r="N2" s="300"/>
      <c r="O2" s="300"/>
      <c r="P2" s="300"/>
      <c r="Q2" s="300"/>
      <c r="R2" s="300"/>
      <c r="S2" s="300"/>
      <c r="T2" s="300"/>
      <c r="U2" s="300"/>
    </row>
    <row r="3" ht="15.75" customHeight="1">
      <c r="A3" s="300"/>
      <c r="B3" s="300"/>
      <c r="C3" s="300"/>
      <c r="D3" s="300"/>
      <c r="E3" s="300"/>
      <c r="F3" s="300"/>
      <c r="G3" s="300"/>
      <c r="H3" s="300"/>
      <c r="I3" s="300"/>
      <c r="J3" s="300"/>
      <c r="K3" s="300"/>
      <c r="L3" s="300"/>
      <c r="M3" s="300"/>
      <c r="N3" s="300"/>
      <c r="O3" s="300"/>
      <c r="P3" s="300"/>
      <c r="Q3" s="300"/>
      <c r="R3" s="300"/>
      <c r="S3" s="300"/>
      <c r="T3" s="300"/>
      <c r="U3" s="300"/>
    </row>
    <row r="4" ht="4.5" customHeight="1">
      <c r="A4" s="301"/>
      <c r="B4" s="301"/>
      <c r="C4" s="301"/>
      <c r="D4" s="301"/>
      <c r="E4" s="301"/>
      <c r="F4" s="301"/>
      <c r="G4" s="301"/>
      <c r="H4" s="294"/>
      <c r="I4" s="294"/>
      <c r="J4" s="294"/>
      <c r="K4" s="294"/>
      <c r="L4" s="294"/>
      <c r="M4" s="294"/>
      <c r="N4" s="294"/>
      <c r="O4" s="302"/>
      <c r="P4" s="302"/>
      <c r="Q4" s="302"/>
      <c r="R4" s="302"/>
      <c r="S4" s="302"/>
      <c r="T4" s="302"/>
      <c r="U4" s="302"/>
    </row>
    <row r="5" ht="1.5" customHeight="1">
      <c r="A5" s="146"/>
      <c r="B5" s="146"/>
      <c r="C5" s="146"/>
      <c r="D5" s="146"/>
      <c r="E5" s="146"/>
      <c r="F5" s="146"/>
      <c r="G5" s="146"/>
      <c r="H5" s="146"/>
      <c r="I5" s="146"/>
      <c r="J5" s="146"/>
      <c r="K5" s="146"/>
      <c r="L5" s="146"/>
      <c r="M5" s="146"/>
      <c r="N5" s="146"/>
      <c r="O5" s="146"/>
      <c r="P5" s="146"/>
      <c r="Q5" s="146"/>
      <c r="R5" s="146"/>
      <c r="S5" s="146"/>
      <c r="T5" s="146"/>
      <c r="U5" s="146"/>
      <c r="V5" t="s">
        <v>629</v>
      </c>
    </row>
    <row r="6" ht="15.75" customHeight="1">
      <c r="A6" s="11"/>
      <c r="B6" s="11"/>
      <c r="C6" s="11"/>
      <c r="D6" s="11"/>
      <c r="E6" s="11"/>
      <c r="F6" s="11"/>
      <c r="G6" s="11"/>
      <c r="H6" s="11"/>
      <c r="I6" s="11"/>
      <c r="J6" s="11"/>
      <c r="K6" s="11"/>
      <c r="L6" s="11"/>
      <c r="M6" s="11"/>
      <c r="N6" s="11"/>
      <c r="O6" s="11"/>
      <c r="P6" s="11"/>
      <c r="Q6" s="11"/>
      <c r="R6" s="11"/>
      <c r="S6" s="11"/>
      <c r="T6" s="11"/>
      <c r="U6" s="11"/>
    </row>
    <row r="7" ht="15.75" customHeight="1">
      <c r="A7" s="11"/>
      <c r="B7" s="11"/>
      <c r="C7" s="11"/>
      <c r="D7" s="11"/>
      <c r="E7" s="11"/>
      <c r="F7" s="11"/>
      <c r="G7" s="11"/>
      <c r="H7" s="11"/>
      <c r="I7" s="11"/>
      <c r="J7" s="11"/>
      <c r="K7" s="11"/>
      <c r="L7" s="11"/>
      <c r="M7" s="11"/>
      <c r="N7" s="11"/>
      <c r="O7" s="11"/>
      <c r="P7" s="11"/>
      <c r="Q7" s="11"/>
      <c r="R7" s="11"/>
      <c r="S7" s="11"/>
      <c r="T7" s="11"/>
      <c r="U7" s="11"/>
      <c r="W7" t="s">
        <v>422</v>
      </c>
      <c r="X7" t="s">
        <v>423</v>
      </c>
      <c r="Y7" t="s">
        <v>630</v>
      </c>
      <c r="Z7" t="s">
        <v>631</v>
      </c>
      <c r="AB7" t="s">
        <v>632</v>
      </c>
      <c r="AC7" t="s">
        <v>633</v>
      </c>
      <c r="AD7" t="s">
        <v>634</v>
      </c>
      <c r="AF7" t="s">
        <v>632</v>
      </c>
      <c r="AG7" t="s">
        <v>51</v>
      </c>
      <c r="AH7" t="s">
        <v>635</v>
      </c>
      <c r="AJ7" s="123"/>
    </row>
    <row r="8" ht="15.75" customHeight="1">
      <c r="A8" s="11"/>
      <c r="B8" s="303"/>
      <c r="C8" s="303"/>
      <c r="D8" s="303"/>
      <c r="E8" s="303"/>
      <c r="F8" s="303"/>
      <c r="G8" s="303"/>
      <c r="H8" s="303"/>
      <c r="I8" s="303"/>
      <c r="J8" s="303"/>
      <c r="K8" s="303"/>
      <c r="L8" s="303"/>
      <c r="M8" s="303"/>
      <c r="N8" s="303"/>
      <c r="O8" s="303"/>
      <c r="P8" s="303"/>
      <c r="Q8" s="303"/>
      <c r="R8" s="303"/>
      <c r="S8" s="303"/>
      <c r="T8" s="303"/>
      <c r="U8" s="11"/>
      <c r="W8" t="str">
        <f>TEXT(INDEX(Beta!$N$9:$N$270,MIN(4*(ROW()-8)+1,262)),"mmm-yy")</f>
        <v>Jun-21</v>
      </c>
      <c r="X8" t="n">
        <f>ROUND(INDEX(Beta!$O$9:$O$270,MIN(4*(ROW()-8)+1,262))/Beta!$O$9*100,1)</f>
        <v>100</v>
      </c>
      <c r="Y8" t="n">
        <f>ROUND(INDEX(Beta!$P$9:$P$270,MIN(4*(ROW()-8)+1,262))/Beta!$P$9*100,1)</f>
        <v>100</v>
      </c>
      <c r="Z8" t="n">
        <f>ROUND(INDEX(Beta!$Q$9:$Q$270,MIN(4*(ROW()-8)+1,262))/Beta!$Q$9*100,1)</f>
        <v>100</v>
      </c>
      <c r="AB8" t="s">
        <v>636</v>
      </c>
      <c r="AC8" s="178" t="n">
        <f>Forecasts!G39/Forecasts!G15</f>
        <v>0.3585846429342428</v>
      </c>
      <c r="AD8" s="178" t="n">
        <f>Forecasts!G37/Forecasts!G15</f>
        <v>0.2518180034437755</v>
      </c>
      <c r="AF8" t="s">
        <v>636</v>
      </c>
      <c r="AG8" s="281" t="n">
        <f>Forecasts!G18</f>
        <v>11155</v>
      </c>
      <c r="AH8" s="281" t="n">
        <f>Forecasts!G19</f>
        <v>318.4973554459883</v>
      </c>
    </row>
    <row r="9" ht="15.75" customHeight="1">
      <c r="A9" s="11"/>
      <c r="B9" s="304"/>
      <c r="C9" s="304"/>
      <c r="D9" s="304"/>
      <c r="E9" s="304"/>
      <c r="F9" s="304"/>
      <c r="G9" s="304"/>
      <c r="H9" s="304"/>
      <c r="I9" s="304"/>
      <c r="J9" s="304"/>
      <c r="K9" s="304"/>
      <c r="L9" s="304"/>
      <c r="M9" s="304"/>
      <c r="N9" s="304"/>
      <c r="O9" s="304"/>
      <c r="P9" s="304"/>
      <c r="Q9" s="304"/>
      <c r="R9" s="304"/>
      <c r="S9" s="304"/>
      <c r="T9" s="304"/>
      <c r="U9" s="11"/>
      <c r="W9" t="str">
        <f>TEXT(INDEX(Beta!$N$9:$N$270,MIN(4*(ROW()-8)+1,262)),"mmm-yy")</f>
        <v>Jul-21</v>
      </c>
      <c r="X9" t="n">
        <f>ROUND(INDEX(Beta!$O$9:$O$270,MIN(4*(ROW()-8)+1,262))/Beta!$O$9*100,1)</f>
        <v>105.1</v>
      </c>
      <c r="Y9" t="n">
        <f>ROUND(INDEX(Beta!$P$9:$P$270,MIN(4*(ROW()-8)+1,262))/Beta!$P$9*100,1)</f>
        <v>104.5</v>
      </c>
      <c r="Z9" t="n">
        <f>ROUND(INDEX(Beta!$Q$9:$Q$270,MIN(4*(ROW()-8)+1,262))/Beta!$Q$9*100,1)</f>
        <v>100.8</v>
      </c>
      <c r="AB9" t="s">
        <v>637</v>
      </c>
      <c r="AC9" s="178" t="n">
        <f>Forecasts!H39/Forecasts!H15</f>
        <v>0.348090006896614</v>
      </c>
      <c r="AD9" s="122" t="n">
        <f>Forecasts!H37/Forecasts!H15</f>
        <v>0.2408873041461721</v>
      </c>
      <c r="AF9" t="s">
        <v>637</v>
      </c>
      <c r="AG9" s="281" t="n">
        <f>Forecasts!H18</f>
        <v>13221</v>
      </c>
      <c r="AH9" s="281" t="n">
        <f>Forecasts!H19</f>
        <v>326.8376068376068</v>
      </c>
      <c r="AJ9" s="370" t="s">
        <v>638</v>
      </c>
      <c r="AK9" s="370" t="s">
        <v>639</v>
      </c>
      <c r="AL9" s="370" t="s">
        <v>640</v>
      </c>
    </row>
    <row r="10" ht="15.75" customHeight="1">
      <c r="A10" s="11"/>
      <c r="B10" s="294"/>
      <c r="C10" s="294"/>
      <c r="D10" s="297"/>
      <c r="E10" s="297"/>
      <c r="F10" s="297"/>
      <c r="G10" s="297"/>
      <c r="H10" s="298"/>
      <c r="I10" s="298"/>
      <c r="J10" s="294"/>
      <c r="K10" s="294"/>
      <c r="L10" s="296"/>
      <c r="M10" s="296"/>
      <c r="N10" s="296"/>
      <c r="O10" s="296"/>
      <c r="P10" s="296"/>
      <c r="Q10" s="296"/>
      <c r="R10" s="296"/>
      <c r="S10" s="296"/>
      <c r="T10" s="296"/>
      <c r="U10" s="11"/>
      <c r="W10" t="str">
        <f>TEXT(INDEX(Beta!$N$9:$N$270,MIN(4*(ROW()-8)+1,262)),"mmm-yy")</f>
        <v>Aug-21</v>
      </c>
      <c r="X10" t="n">
        <f>ROUND(INDEX(Beta!$O$9:$O$270,MIN(4*(ROW()-8)+1,262))/Beta!$O$9*100,1)</f>
        <v>106.5</v>
      </c>
      <c r="Y10" t="n">
        <f>ROUND(INDEX(Beta!$P$9:$P$270,MIN(4*(ROW()-8)+1,262))/Beta!$P$9*100,1)</f>
        <v>105.8</v>
      </c>
      <c r="Z10" t="n">
        <f>ROUND(INDEX(Beta!$Q$9:$Q$270,MIN(4*(ROW()-8)+1,262))/Beta!$Q$9*100,1)</f>
        <v>102.4</v>
      </c>
      <c r="AB10" t="s">
        <v>641</v>
      </c>
      <c r="AC10" s="178" t="n">
        <f>Forecasts!I39/Forecasts!I15</f>
        <v>0.3818456031058537</v>
      </c>
      <c r="AD10" s="122" t="n">
        <f>Forecasts!I37/Forecasts!I15</f>
        <v>0.27090945514565307</v>
      </c>
      <c r="AF10" t="s">
        <v>641</v>
      </c>
      <c r="AG10" s="281" t="n">
        <f>Forecasts!I18</f>
        <v>13663</v>
      </c>
      <c r="AH10" s="281" t="n">
        <f>Forecasts!I19</f>
        <v>374.6747420039523</v>
      </c>
      <c r="AJ10" s="371" t="s">
        <v>642</v>
      </c>
      <c r="AK10" s="372">
        <v>5.0000000000000001E-3</v>
      </c>
      <c r="AL10" s="372">
        <v>5.0000000000000001E-3</v>
      </c>
    </row>
    <row r="11" ht="15.75" customHeight="1">
      <c r="A11" s="11"/>
      <c r="B11" s="294"/>
      <c r="C11" s="294"/>
      <c r="D11" s="297"/>
      <c r="E11" s="297"/>
      <c r="F11" s="297"/>
      <c r="G11" s="297"/>
      <c r="H11" s="298"/>
      <c r="I11" s="298"/>
      <c r="J11" s="294"/>
      <c r="K11" s="294"/>
      <c r="L11" s="296"/>
      <c r="M11" s="296"/>
      <c r="N11" s="296"/>
      <c r="O11" s="296"/>
      <c r="P11" s="296"/>
      <c r="Q11" s="296"/>
      <c r="R11" s="296"/>
      <c r="S11" s="296"/>
      <c r="T11" s="296"/>
      <c r="U11" s="11"/>
      <c r="W11" t="str">
        <f>TEXT(INDEX(Beta!$N$9:$N$270,MIN(4*(ROW()-8)+1,262)),"mmm-yy")</f>
        <v>Sep-21</v>
      </c>
      <c r="X11" t="n">
        <f>ROUND(INDEX(Beta!$O$9:$O$270,MIN(4*(ROW()-8)+1,262))/Beta!$O$9*100,1)</f>
        <v>108.2</v>
      </c>
      <c r="Y11" t="n">
        <f>ROUND(INDEX(Beta!$P$9:$P$270,MIN(4*(ROW()-8)+1,262))/Beta!$P$9*100,1)</f>
        <v>105.4</v>
      </c>
      <c r="Z11" t="n">
        <f>ROUND(INDEX(Beta!$Q$9:$Q$270,MIN(4*(ROW()-8)+1,262))/Beta!$Q$9*100,1)</f>
        <v>100.9</v>
      </c>
      <c r="AB11" t="s">
        <v>643</v>
      </c>
      <c r="AC11" s="178" t="n">
        <f>Forecasts!J39/Forecasts!J15</f>
        <v>0.3826052156554737</v>
      </c>
      <c r="AD11" s="122" t="n">
        <f>Forecasts!J37/Forecasts!J15</f>
        <v>0.2827384857237173</v>
      </c>
      <c r="AF11" t="s">
        <v>643</v>
      </c>
      <c r="AG11" s="281" t="n">
        <f>Forecasts!J18</f>
        <v>13752</v>
      </c>
      <c r="AH11" s="281" t="n">
        <f>Forecasts!J19</f>
        <v>416.4985456660849</v>
      </c>
      <c r="AJ11" s="371" t="s">
        <v>644</v>
      </c>
      <c r="AK11" s="372">
        <v>4.4999999999999998E-2</v>
      </c>
      <c r="AL11" s="372">
        <v>2.5000000000000001E-2</v>
      </c>
    </row>
    <row r="12" ht="15.75" customHeight="1">
      <c r="A12" s="11"/>
      <c r="B12" s="294"/>
      <c r="C12" s="294"/>
      <c r="D12" s="297"/>
      <c r="E12" s="297"/>
      <c r="F12" s="297"/>
      <c r="G12" s="297"/>
      <c r="H12" s="298"/>
      <c r="I12" s="298"/>
      <c r="J12" s="294"/>
      <c r="K12" s="294"/>
      <c r="L12" s="296"/>
      <c r="M12" s="296"/>
      <c r="N12" s="296"/>
      <c r="O12" s="296"/>
      <c r="P12" s="296"/>
      <c r="Q12" s="296"/>
      <c r="R12" s="296"/>
      <c r="S12" s="296"/>
      <c r="T12" s="296"/>
      <c r="U12" s="11"/>
      <c r="W12" t="str">
        <f>TEXT(INDEX(Beta!$N$9:$N$270,MIN(4*(ROW()-8)+1,262)),"mmm-yy")</f>
        <v>Oct-21</v>
      </c>
      <c r="X12" t="n">
        <f>ROUND(INDEX(Beta!$O$9:$O$270,MIN(4*(ROW()-8)+1,262))/Beta!$O$9*100,1)</f>
        <v>112.7</v>
      </c>
      <c r="Y12" t="n">
        <f>ROUND(INDEX(Beta!$P$9:$P$270,MIN(4*(ROW()-8)+1,262))/Beta!$P$9*100,1)</f>
        <v>107.5</v>
      </c>
      <c r="Z12" t="n">
        <f>ROUND(INDEX(Beta!$Q$9:$Q$270,MIN(4*(ROW()-8)+1,262))/Beta!$Q$9*100,1)</f>
        <v>102.6</v>
      </c>
      <c r="AB12" t="s">
        <v>645</v>
      </c>
      <c r="AC12" s="178" t="n">
        <f>Forecasts!K39/Forecasts!K15</f>
        <v>0.3878733538508387</v>
      </c>
      <c r="AD12" s="122" t="n">
        <f>Forecasts!K37/Forecasts!K15</f>
        <v>0.2952399238262423</v>
      </c>
      <c r="AF12" t="s">
        <v>645</v>
      </c>
      <c r="AG12" s="281" t="n">
        <f>Forecasts!K18</f>
        <v>13640</v>
      </c>
      <c r="AH12" s="281" t="n">
        <f>Forecasts!K19</f>
        <v>440.26708211143693</v>
      </c>
      <c r="AJ12" s="371" t="s">
        <v>646</v>
      </c>
      <c r="AK12" s="372">
        <v>0.1</v>
      </c>
      <c r="AL12" s="372">
        <v>0.05</v>
      </c>
    </row>
    <row r="13" ht="15.75" customHeight="1">
      <c r="A13" s="11"/>
      <c r="B13" s="294"/>
      <c r="C13" s="294"/>
      <c r="D13" s="297"/>
      <c r="E13" s="297"/>
      <c r="F13" s="297"/>
      <c r="G13" s="297"/>
      <c r="H13" s="298"/>
      <c r="I13" s="298"/>
      <c r="J13" s="294"/>
      <c r="K13" s="294"/>
      <c r="L13" s="296"/>
      <c r="M13" s="296"/>
      <c r="N13" s="296"/>
      <c r="O13" s="296"/>
      <c r="P13" s="296"/>
      <c r="Q13" s="296"/>
      <c r="R13" s="296"/>
      <c r="S13" s="296"/>
      <c r="T13" s="296"/>
      <c r="U13" s="11"/>
      <c r="W13" t="str">
        <f>TEXT(INDEX(Beta!$N$9:$N$270,MIN(4*(ROW()-8)+1,262)),"mmm-yy")</f>
        <v>Nov-21</v>
      </c>
      <c r="X13" t="n">
        <f>ROUND(INDEX(Beta!$O$9:$O$270,MIN(4*(ROW()-8)+1,262))/Beta!$O$9*100,1)</f>
        <v>133.8</v>
      </c>
      <c r="Y13" t="n">
        <f>ROUND(INDEX(Beta!$P$9:$P$270,MIN(4*(ROW()-8)+1,262))/Beta!$P$9*100,1)</f>
        <v>114.1</v>
      </c>
      <c r="Z13" t="n">
        <f>ROUND(INDEX(Beta!$Q$9:$Q$270,MIN(4*(ROW()-8)+1,262))/Beta!$Q$9*100,1)</f>
        <v>106.4</v>
      </c>
      <c r="AB13" t="s">
        <v>647</v>
      </c>
      <c r="AC13" s="178" t="n">
        <f>Forecasts!L39/Forecasts!L15</f>
        <v>0.39090024197089324</v>
      </c>
      <c r="AD13" s="122" t="n">
        <f>Forecasts!L37/Forecasts!L15</f>
        <v>0.29790024197089326</v>
      </c>
      <c r="AF13" t="s">
        <v>647</v>
      </c>
      <c r="AG13" s="281" t="n">
        <f>Forecasts!L18</f>
        <v>13708.199999999999</v>
      </c>
      <c r="AH13" s="281" t="n">
        <f>Forecasts!L19</f>
        <v>457.7901500561708</v>
      </c>
      <c r="AJ13" s="371" t="s">
        <v>648</v>
      </c>
      <c r="AK13" s="372">
        <v>0.48</v>
      </c>
      <c r="AL13" s="372">
        <v>0.47599999999999998</v>
      </c>
    </row>
    <row r="14" ht="15.75" customHeight="1">
      <c r="A14" s="11"/>
      <c r="B14" s="294"/>
      <c r="C14" s="294"/>
      <c r="D14" s="297"/>
      <c r="E14" s="297"/>
      <c r="F14" s="297"/>
      <c r="G14" s="297"/>
      <c r="H14" s="298"/>
      <c r="I14" s="298"/>
      <c r="J14" s="294"/>
      <c r="K14" s="294"/>
      <c r="L14" s="296"/>
      <c r="M14" s="296"/>
      <c r="N14" s="296"/>
      <c r="O14" s="296"/>
      <c r="P14" s="296"/>
      <c r="Q14" s="296"/>
      <c r="R14" s="296"/>
      <c r="S14" s="296"/>
      <c r="T14" s="296"/>
      <c r="U14" s="11"/>
      <c r="W14" t="str">
        <f>TEXT(INDEX(Beta!$N$9:$N$270,MIN(4*(ROW()-8)+1,262)),"mmm-yy")</f>
        <v>Dec-21</v>
      </c>
      <c r="X14" t="n">
        <f>ROUND(INDEX(Beta!$O$9:$O$270,MIN(4*(ROW()-8)+1,262))/Beta!$O$9*100,1)</f>
        <v>134.5</v>
      </c>
      <c r="Y14" t="n">
        <f>ROUND(INDEX(Beta!$P$9:$P$270,MIN(4*(ROW()-8)+1,262))/Beta!$P$9*100,1)</f>
        <v>116.1</v>
      </c>
      <c r="Z14" t="n">
        <f>ROUND(INDEX(Beta!$Q$9:$Q$270,MIN(4*(ROW()-8)+1,262))/Beta!$Q$9*100,1)</f>
        <v>103.9</v>
      </c>
      <c r="AB14" t="s">
        <v>649</v>
      </c>
      <c r="AC14" s="178" t="n">
        <f>Forecasts!M39/Forecasts!M15</f>
        <v>0.3935996829292609</v>
      </c>
      <c r="AD14" s="122" t="n">
        <f>Forecasts!M37/Forecasts!M15</f>
        <v>0.29959968292926087</v>
      </c>
      <c r="AF14" t="s">
        <v>649</v>
      </c>
      <c r="AG14" s="281" t="n">
        <f>Forecasts!M18</f>
        <v>13776.740999999998</v>
      </c>
      <c r="AH14" s="281" t="n">
        <f>Forecasts!M19</f>
        <v>480.56577941219916</v>
      </c>
      <c r="AJ14" s="371" t="s">
        <v>650</v>
      </c>
      <c r="AK14" s="372">
        <v>0.14000000000000001</v>
      </c>
      <c r="AL14" s="372">
        <v>0.12</v>
      </c>
    </row>
    <row r="15" ht="15.75" customHeight="1">
      <c r="A15" s="11"/>
      <c r="B15" s="294"/>
      <c r="C15" s="294"/>
      <c r="D15" s="297"/>
      <c r="E15" s="297"/>
      <c r="F15" s="297"/>
      <c r="G15" s="297"/>
      <c r="H15" s="298"/>
      <c r="I15" s="298"/>
      <c r="J15" s="294"/>
      <c r="K15" s="294"/>
      <c r="L15" s="299"/>
      <c r="M15" s="299"/>
      <c r="N15" s="299"/>
      <c r="O15" s="299"/>
      <c r="P15" s="299"/>
      <c r="Q15" s="299"/>
      <c r="R15" s="299"/>
      <c r="S15" s="299"/>
      <c r="T15" s="299"/>
      <c r="U15" s="11"/>
      <c r="W15" t="str">
        <f>TEXT(INDEX(Beta!$N$9:$N$270,MIN(4*(ROW()-8)+1,262)),"mmm-yy")</f>
        <v>Jan-22</v>
      </c>
      <c r="X15" t="n">
        <f>ROUND(INDEX(Beta!$O$9:$O$270,MIN(4*(ROW()-8)+1,262))/Beta!$O$9*100,1)</f>
        <v>132.1</v>
      </c>
      <c r="Y15" t="n">
        <f>ROUND(INDEX(Beta!$P$9:$P$270,MIN(4*(ROW()-8)+1,262))/Beta!$P$9*100,1)</f>
        <v>114.8</v>
      </c>
      <c r="Z15" t="n">
        <f>ROUND(INDEX(Beta!$Q$9:$Q$270,MIN(4*(ROW()-8)+1,262))/Beta!$Q$9*100,1)</f>
        <v>106.3</v>
      </c>
      <c r="AB15" t="s">
        <v>651</v>
      </c>
      <c r="AC15" s="178" t="n">
        <f>Forecasts!N39/Forecasts!N15</f>
        <v>0.39625952520037</v>
      </c>
      <c r="AD15" s="122" t="n">
        <f>Forecasts!N37/Forecasts!N15</f>
        <v>0.30125952520037</v>
      </c>
      <c r="AF15" t="s">
        <v>651</v>
      </c>
      <c r="AG15" s="281" t="n">
        <f>Forecasts!N18</f>
        <v>13845.624704999997</v>
      </c>
      <c r="AH15" s="281" t="n">
        <f>Forecasts!N19</f>
        <v>504.4745246565872</v>
      </c>
      <c r="AJ15" s="371" t="s">
        <v>652</v>
      </c>
      <c r="AK15" s="373" t="s">
        <v>653</v>
      </c>
      <c r="AL15" s="373"/>
    </row>
    <row r="16" ht="15.75" customHeight="1">
      <c r="A16" s="11"/>
      <c r="B16" s="295"/>
      <c r="C16" s="295"/>
      <c r="D16" s="295"/>
      <c r="E16" s="295"/>
      <c r="F16" s="295"/>
      <c r="G16" s="295"/>
      <c r="H16" s="295"/>
      <c r="I16" s="295"/>
      <c r="J16" s="295"/>
      <c r="K16" s="295"/>
      <c r="L16" s="296"/>
      <c r="M16" s="296"/>
      <c r="N16" s="296"/>
      <c r="O16" s="296"/>
      <c r="P16" s="296"/>
      <c r="Q16" s="296"/>
      <c r="R16" s="296"/>
      <c r="S16" s="296"/>
      <c r="T16" s="296"/>
      <c r="U16" s="11"/>
      <c r="W16" t="str">
        <f>TEXT(INDEX(Beta!$N$9:$N$270,MIN(4*(ROW()-8)+1,262)),"mmm-yy")</f>
        <v>Feb-22</v>
      </c>
      <c r="X16" t="n">
        <f>ROUND(INDEX(Beta!$O$9:$O$270,MIN(4*(ROW()-8)+1,262))/Beta!$O$9*100,1)</f>
        <v>117.3</v>
      </c>
      <c r="Y16" t="n">
        <f>ROUND(INDEX(Beta!$P$9:$P$270,MIN(4*(ROW()-8)+1,262))/Beta!$P$9*100,1)</f>
        <v>109.6</v>
      </c>
      <c r="Z16" t="n">
        <f>ROUND(INDEX(Beta!$Q$9:$Q$270,MIN(4*(ROW()-8)+1,262))/Beta!$Q$9*100,1)</f>
        <v>101</v>
      </c>
      <c r="AB16" t="s">
        <v>654</v>
      </c>
      <c r="AC16" s="178" t="n">
        <f>Forecasts!O39/Forecasts!O15</f>
        <v>0.3995653848916767</v>
      </c>
      <c r="AD16" s="122" t="n">
        <f>Forecasts!O37/Forecasts!O15</f>
        <v>0.3025653848916767</v>
      </c>
      <c r="AF16" t="s">
        <v>654</v>
      </c>
      <c r="AG16" s="281" t="n">
        <f>Forecasts!O18</f>
        <v>13914.852828524996</v>
      </c>
      <c r="AH16" s="281" t="n">
        <f>Forecasts!O19</f>
        <v>527.0629362083748</v>
      </c>
    </row>
    <row r="17" ht="15.75" customHeight="1">
      <c r="A17" s="11"/>
      <c r="B17" s="295"/>
      <c r="C17" s="295"/>
      <c r="D17" s="295"/>
      <c r="E17" s="295"/>
      <c r="F17" s="295"/>
      <c r="G17" s="295"/>
      <c r="H17" s="295"/>
      <c r="I17" s="295"/>
      <c r="J17" s="295"/>
      <c r="K17" s="295"/>
      <c r="L17" s="296"/>
      <c r="M17" s="296"/>
      <c r="N17" s="296"/>
      <c r="O17" s="296"/>
      <c r="P17" s="296"/>
      <c r="Q17" s="296"/>
      <c r="R17" s="296"/>
      <c r="S17" s="296"/>
      <c r="T17" s="296"/>
      <c r="U17" s="11"/>
      <c r="W17" t="str">
        <f>TEXT(INDEX(Beta!$N$9:$N$270,MIN(4*(ROW()-8)+1,262)),"mmm-yy")</f>
        <v>Mar-22</v>
      </c>
      <c r="X17" t="n">
        <f>ROUND(INDEX(Beta!$O$9:$O$270,MIN(4*(ROW()-8)+1,262))/Beta!$O$9*100,1)</f>
        <v>106</v>
      </c>
      <c r="Y17" t="n">
        <f>ROUND(INDEX(Beta!$P$9:$P$270,MIN(4*(ROW()-8)+1,262))/Beta!$P$9*100,1)</f>
        <v>110.5</v>
      </c>
      <c r="Z17" t="n">
        <f>ROUND(INDEX(Beta!$Q$9:$Q$270,MIN(4*(ROW()-8)+1,262))/Beta!$Q$9*100,1)</f>
        <v>92.2</v>
      </c>
      <c r="AB17" t="s">
        <v>655</v>
      </c>
      <c r="AC17" s="178" t="n">
        <f>Forecasts!P39/Forecasts!P15</f>
        <v>0.40151932586924505</v>
      </c>
      <c r="AD17" s="122" t="n">
        <f>Forecasts!P37/Forecasts!P15</f>
        <v>0.3035193258692451</v>
      </c>
      <c r="AF17" t="s">
        <v>655</v>
      </c>
      <c r="AG17" s="281" t="n">
        <f>Forecasts!P18</f>
        <v>13984.42709266762</v>
      </c>
      <c r="AH17" s="281" t="n">
        <f>Forecasts!P19</f>
        <v>548.0405655102007</v>
      </c>
      <c r="AJ17" s="369"/>
    </row>
    <row r="18" ht="15.75" customHeight="1">
      <c r="A18" s="11"/>
      <c r="B18" s="294"/>
      <c r="C18" s="294"/>
      <c r="D18" s="294"/>
      <c r="E18" s="294"/>
      <c r="F18" s="294"/>
      <c r="G18" s="294"/>
      <c r="H18" s="294"/>
      <c r="I18" s="294"/>
      <c r="J18" s="294"/>
      <c r="K18" s="294"/>
      <c r="L18" s="294"/>
      <c r="M18" s="294"/>
      <c r="N18" s="294"/>
      <c r="O18" s="294"/>
      <c r="P18" s="294"/>
      <c r="Q18" s="294"/>
      <c r="R18" s="294"/>
      <c r="S18" s="294"/>
      <c r="T18" s="294"/>
      <c r="U18" s="11"/>
      <c r="W18" t="str">
        <f>TEXT(INDEX(Beta!$N$9:$N$270,MIN(4*(ROW()-8)+1,262)),"mmm-yy")</f>
        <v>Apr-22</v>
      </c>
      <c r="X18" t="n">
        <f>ROUND(INDEX(Beta!$O$9:$O$270,MIN(4*(ROW()-8)+1,262))/Beta!$O$9*100,1)</f>
        <v>117.1</v>
      </c>
      <c r="Y18" t="n">
        <f>ROUND(INDEX(Beta!$P$9:$P$270,MIN(4*(ROW()-8)+1,262))/Beta!$P$9*100,1)</f>
        <v>114.8</v>
      </c>
      <c r="Z18" t="n">
        <f>ROUND(INDEX(Beta!$Q$9:$Q$270,MIN(4*(ROW()-8)+1,262))/Beta!$Q$9*100,1)</f>
        <v>100.2</v>
      </c>
      <c r="AB18" t="s">
        <v>656</v>
      </c>
      <c r="AC18" s="178" t="n">
        <f>Forecasts!Q39/Forecasts!Q15</f>
        <v>0.4021546557160934</v>
      </c>
      <c r="AD18" s="122" t="n">
        <f>Forecasts!Q37/Forecasts!Q15</f>
        <v>0.3031546557160934</v>
      </c>
      <c r="AF18" t="s">
        <v>656</v>
      </c>
      <c r="AG18" s="281" t="n">
        <f>Forecasts!Q18</f>
        <v>14054.349228130957</v>
      </c>
      <c r="AH18" s="281" t="n">
        <f>Forecasts!Q19</f>
        <v>567.1265553538395</v>
      </c>
      <c r="AJ18" s="110" t="s">
        <v>657</v>
      </c>
    </row>
    <row r="19" ht="15.75" customHeight="1">
      <c r="A19" s="11"/>
      <c r="B19" s="292"/>
      <c r="C19" s="292"/>
      <c r="D19" s="292"/>
      <c r="E19" s="292"/>
      <c r="F19" s="292"/>
      <c r="G19" s="292"/>
      <c r="H19" s="292"/>
      <c r="I19" s="292"/>
      <c r="J19" s="292"/>
      <c r="K19" s="292"/>
      <c r="L19" s="294"/>
      <c r="M19" s="294"/>
      <c r="N19" s="294"/>
      <c r="O19" s="294"/>
      <c r="P19" s="294"/>
      <c r="Q19" s="294"/>
      <c r="R19" s="294"/>
      <c r="S19" s="294"/>
      <c r="T19" s="294"/>
      <c r="U19" s="11"/>
      <c r="W19" t="str">
        <f>TEXT(INDEX(Beta!$N$9:$N$270,MIN(4*(ROW()-8)+1,262)),"mmm-yy")</f>
        <v>Apr-22</v>
      </c>
      <c r="X19" t="n">
        <f>ROUND(INDEX(Beta!$O$9:$O$270,MIN(4*(ROW()-8)+1,262))/Beta!$O$9*100,1)</f>
        <v>119.1</v>
      </c>
      <c r="Y19" t="n">
        <f>ROUND(INDEX(Beta!$P$9:$P$270,MIN(4*(ROW()-8)+1,262))/Beta!$P$9*100,1)</f>
        <v>109.2</v>
      </c>
      <c r="Z19" t="n">
        <f>ROUND(INDEX(Beta!$Q$9:$Q$270,MIN(4*(ROW()-8)+1,262))/Beta!$Q$9*100,1)</f>
        <v>98.4</v>
      </c>
      <c r="AB19" t="s">
        <v>658</v>
      </c>
      <c r="AC19" s="178" t="n">
        <f>Forecasts!R39/Forecasts!R15</f>
        <v>0.4024329496834882</v>
      </c>
      <c r="AD19" s="122" t="n">
        <f>Forecasts!R37/Forecasts!R15</f>
        <v>0.3024329496834882</v>
      </c>
      <c r="AF19" t="s">
        <v>658</v>
      </c>
      <c r="AG19" s="281" t="n">
        <f>Forecasts!R18</f>
        <v>14124.620974271611</v>
      </c>
      <c r="AH19" s="281" t="n">
        <f>Forecasts!R19</f>
        <v>584.0557062599244</v>
      </c>
      <c r="AJ19" s="111" t="s">
        <v>659</v>
      </c>
      <c r="AK19" s="374" t="n">
        <f>WACC!G11</f>
        <v>0.59</v>
      </c>
    </row>
    <row r="20" ht="15.75" customHeight="1">
      <c r="A20" s="11"/>
      <c r="B20" s="292"/>
      <c r="C20" s="292"/>
      <c r="D20" s="292"/>
      <c r="E20" s="292"/>
      <c r="F20" s="292"/>
      <c r="G20" s="292"/>
      <c r="H20" s="292"/>
      <c r="I20" s="292"/>
      <c r="J20" s="292"/>
      <c r="K20" s="292"/>
      <c r="L20" s="294"/>
      <c r="M20" s="294"/>
      <c r="N20" s="294"/>
      <c r="O20" s="294"/>
      <c r="P20" s="294"/>
      <c r="Q20" s="294"/>
      <c r="R20" s="294"/>
      <c r="S20" s="294"/>
      <c r="T20" s="294"/>
      <c r="U20" s="11"/>
      <c r="W20" t="str">
        <f>TEXT(INDEX(Beta!$N$9:$N$270,MIN(4*(ROW()-8)+1,262)),"mmm-yy")</f>
        <v>May-22</v>
      </c>
      <c r="X20" t="n">
        <f>ROUND(INDEX(Beta!$O$9:$O$270,MIN(4*(ROW()-8)+1,262))/Beta!$O$9*100,1)</f>
        <v>109.8</v>
      </c>
      <c r="Y20" t="n">
        <f>ROUND(INDEX(Beta!$P$9:$P$270,MIN(4*(ROW()-8)+1,262))/Beta!$P$9*100,1)</f>
        <v>108.3</v>
      </c>
      <c r="Z20" t="n">
        <f>ROUND(INDEX(Beta!$Q$9:$Q$270,MIN(4*(ROW()-8)+1,262))/Beta!$Q$9*100,1)</f>
        <v>97</v>
      </c>
      <c r="AB20" t="s">
        <v>660</v>
      </c>
      <c r="AC20" s="178" t="n">
        <f>Forecasts!S39/Forecasts!S15</f>
        <v>0.40326979959432546</v>
      </c>
      <c r="AD20" s="122" t="n">
        <f>Forecasts!S37/Forecasts!S15</f>
        <v>0.3012697995943255</v>
      </c>
      <c r="AF20" t="s">
        <v>660</v>
      </c>
      <c r="AG20" s="281" t="n">
        <f>Forecasts!S18</f>
        <v>14195.244079142967</v>
      </c>
      <c r="AH20" s="281" t="n">
        <f>Forecasts!S19</f>
        <v>598.5844551718629</v>
      </c>
      <c r="AJ20" s="111" t="s">
        <v>661</v>
      </c>
      <c r="AK20" s="374" t="n">
        <f>WACC!G12</f>
        <v>0.7266666666666666</v>
      </c>
    </row>
    <row r="21" ht="15.75" customHeight="1">
      <c r="A21" s="11"/>
      <c r="B21" s="292"/>
      <c r="C21" s="292"/>
      <c r="D21" s="292"/>
      <c r="E21" s="292"/>
      <c r="F21" s="292"/>
      <c r="G21" s="292"/>
      <c r="H21" s="292"/>
      <c r="I21" s="292"/>
      <c r="J21" s="292"/>
      <c r="K21" s="292"/>
      <c r="L21" s="294"/>
      <c r="M21" s="294"/>
      <c r="N21" s="294"/>
      <c r="O21" s="294"/>
      <c r="P21" s="294"/>
      <c r="Q21" s="294"/>
      <c r="R21" s="294"/>
      <c r="S21" s="294"/>
      <c r="T21" s="294"/>
      <c r="U21" s="11"/>
      <c r="W21" t="str">
        <f>TEXT(INDEX(Beta!$N$9:$N$270,MIN(4*(ROW()-8)+1,262)),"mmm-yy")</f>
        <v>Jun-22</v>
      </c>
      <c r="X21" t="n">
        <f>ROUND(INDEX(Beta!$O$9:$O$270,MIN(4*(ROW()-8)+1,262))/Beta!$O$9*100,1)</f>
        <v>105.4</v>
      </c>
      <c r="Y21" t="n">
        <f>ROUND(INDEX(Beta!$P$9:$P$270,MIN(4*(ROW()-8)+1,262))/Beta!$P$9*100,1)</f>
        <v>103.4</v>
      </c>
      <c r="Z21" t="n">
        <f>ROUND(INDEX(Beta!$Q$9:$Q$270,MIN(4*(ROW()-8)+1,262))/Beta!$Q$9*100,1)</f>
        <v>90.2</v>
      </c>
      <c r="AB21" t="s">
        <v>662</v>
      </c>
      <c r="AC21" s="178" t="n">
        <f>Forecasts!T39/Forecasts!T15</f>
        <v>0.40304200737596463</v>
      </c>
      <c r="AD21" s="122" t="n">
        <f>Forecasts!T37/Forecasts!T15</f>
        <v>0.3000420073759646</v>
      </c>
      <c r="AF21" t="s">
        <v>662</v>
      </c>
      <c r="AG21" s="281" t="n">
        <f>Forecasts!T18</f>
        <v>14266.22029953868</v>
      </c>
      <c r="AH21" s="281" t="n">
        <f>Forecasts!T19</f>
        <v>613.4746157482775</v>
      </c>
      <c r="AJ21" s="111" t="s">
        <v>663</v>
      </c>
      <c r="AK21" s="374" t="n">
        <f>WACC!G13</f>
        <v>0.7408310705464917</v>
      </c>
    </row>
    <row r="22" ht="15.75" customHeight="1">
      <c r="A22" s="11"/>
      <c r="B22" s="292"/>
      <c r="C22" s="292"/>
      <c r="D22" s="292"/>
      <c r="E22" s="292"/>
      <c r="F22" s="292"/>
      <c r="G22" s="292"/>
      <c r="H22" s="292"/>
      <c r="I22" s="292"/>
      <c r="J22" s="292"/>
      <c r="K22" s="292"/>
      <c r="L22" s="294"/>
      <c r="M22" s="294"/>
      <c r="N22" s="294"/>
      <c r="O22" s="294"/>
      <c r="P22" s="294"/>
      <c r="Q22" s="294"/>
      <c r="R22" s="294"/>
      <c r="S22" s="294"/>
      <c r="T22" s="294"/>
      <c r="U22" s="11"/>
      <c r="W22" t="str">
        <f>TEXT(INDEX(Beta!$N$9:$N$270,MIN(4*(ROW()-8)+1,262)),"mmm-yy")</f>
        <v>Jul-22</v>
      </c>
      <c r="X22" t="n">
        <f>ROUND(INDEX(Beta!$O$9:$O$270,MIN(4*(ROW()-8)+1,262))/Beta!$O$9*100,1)</f>
        <v>115.8</v>
      </c>
      <c r="Y22" t="n">
        <f>ROUND(INDEX(Beta!$P$9:$P$270,MIN(4*(ROW()-8)+1,262))/Beta!$P$9*100,1)</f>
        <v>108</v>
      </c>
      <c r="Z22" t="n">
        <f>ROUND(INDEX(Beta!$Q$9:$Q$270,MIN(4*(ROW()-8)+1,262))/Beta!$Q$9*100,1)</f>
        <v>93</v>
      </c>
      <c r="AB22" t="s">
        <v>664</v>
      </c>
      <c r="AC22" s="178" t="n">
        <f>Forecasts!U39/Forecasts!U15</f>
        <v>0.40235004244995093</v>
      </c>
      <c r="AD22" s="122" t="n">
        <f>Forecasts!U37/Forecasts!U15</f>
        <v>0.29835004244995095</v>
      </c>
      <c r="AF22" t="s">
        <v>664</v>
      </c>
      <c r="AG22" s="281" t="n">
        <f>Forecasts!U18</f>
        <v>14337.551401036371</v>
      </c>
      <c r="AH22" s="281" t="n">
        <f>Forecasts!U19</f>
        <v>625.6830658129198</v>
      </c>
      <c r="AJ22" s="111" t="s">
        <v>665</v>
      </c>
      <c r="AK22" s="374" t="n">
        <f>WACC!G14</f>
        <v>0.872366253026035</v>
      </c>
    </row>
    <row r="23" ht="15.75" customHeight="1">
      <c r="A23" s="11"/>
      <c r="B23" s="292"/>
      <c r="C23" s="292"/>
      <c r="D23" s="292"/>
      <c r="E23" s="292"/>
      <c r="F23" s="292"/>
      <c r="G23" s="292"/>
      <c r="H23" s="292"/>
      <c r="I23" s="292"/>
      <c r="J23" s="292"/>
      <c r="K23" s="292"/>
      <c r="L23" s="294"/>
      <c r="M23" s="294"/>
      <c r="N23" s="294"/>
      <c r="O23" s="294"/>
      <c r="P23" s="294"/>
      <c r="Q23" s="294"/>
      <c r="R23" s="294"/>
      <c r="S23" s="294"/>
      <c r="T23" s="294"/>
      <c r="U23" s="11"/>
      <c r="W23" t="str">
        <f>TEXT(INDEX(Beta!$N$9:$N$270,MIN(4*(ROW()-8)+1,262)),"mmm-yy")</f>
        <v>Aug-22</v>
      </c>
      <c r="X23" t="n">
        <f>ROUND(INDEX(Beta!$O$9:$O$270,MIN(4*(ROW()-8)+1,262))/Beta!$O$9*100,1)</f>
        <v>120.4</v>
      </c>
      <c r="Y23" t="n">
        <f>ROUND(INDEX(Beta!$P$9:$P$270,MIN(4*(ROW()-8)+1,262))/Beta!$P$9*100,1)</f>
        <v>117.5</v>
      </c>
      <c r="Z23" t="n">
        <f>ROUND(INDEX(Beta!$Q$9:$Q$270,MIN(4*(ROW()-8)+1,262))/Beta!$Q$9*100,1)</f>
        <v>95.6</v>
      </c>
    </row>
    <row r="24" ht="15.75" customHeight="1">
      <c r="A24" s="11"/>
      <c r="B24" s="292"/>
      <c r="C24" s="292"/>
      <c r="D24" s="292"/>
      <c r="E24" s="292"/>
      <c r="F24" s="292"/>
      <c r="G24" s="292"/>
      <c r="H24" s="292"/>
      <c r="I24" s="292"/>
      <c r="J24" s="292"/>
      <c r="K24" s="292"/>
      <c r="L24" s="294"/>
      <c r="M24" s="294"/>
      <c r="N24" s="294"/>
      <c r="O24" s="294"/>
      <c r="P24" s="294"/>
      <c r="Q24" s="294"/>
      <c r="R24" s="294"/>
      <c r="S24" s="294"/>
      <c r="T24" s="294"/>
      <c r="U24" s="11"/>
      <c r="W24" t="str">
        <f>TEXT(INDEX(Beta!$N$9:$N$270,MIN(4*(ROW()-8)+1,262)),"mmm-yy")</f>
        <v>Sep-22</v>
      </c>
      <c r="X24" t="n">
        <f>ROUND(INDEX(Beta!$O$9:$O$270,MIN(4*(ROW()-8)+1,262))/Beta!$O$9*100,1)</f>
        <v>115.3</v>
      </c>
      <c r="Y24" t="n">
        <f>ROUND(INDEX(Beta!$P$9:$P$270,MIN(4*(ROW()-8)+1,262))/Beta!$P$9*100,1)</f>
        <v>107.9</v>
      </c>
      <c r="Z24" t="n">
        <f>ROUND(INDEX(Beta!$Q$9:$Q$270,MIN(4*(ROW()-8)+1,262))/Beta!$Q$9*100,1)</f>
        <v>89.2</v>
      </c>
    </row>
    <row r="25" ht="15.75" customHeight="1">
      <c r="A25" s="11"/>
      <c r="B25" s="294"/>
      <c r="C25" s="294"/>
      <c r="D25" s="294"/>
      <c r="E25" s="294"/>
      <c r="F25" s="294"/>
      <c r="G25" s="294"/>
      <c r="H25" s="294"/>
      <c r="I25" s="294"/>
      <c r="J25" s="294"/>
      <c r="K25" s="294"/>
      <c r="L25" s="294"/>
      <c r="M25" s="294"/>
      <c r="N25" s="294"/>
      <c r="O25" s="294"/>
      <c r="P25" s="294"/>
      <c r="Q25" s="294"/>
      <c r="R25" s="294"/>
      <c r="S25" s="294"/>
      <c r="T25" s="294"/>
      <c r="U25" s="11"/>
      <c r="W25" t="str">
        <f>TEXT(INDEX(Beta!$N$9:$N$270,MIN(4*(ROW()-8)+1,262)),"mmm-yy")</f>
        <v>Oct-22</v>
      </c>
      <c r="X25" t="n">
        <f>ROUND(INDEX(Beta!$O$9:$O$270,MIN(4*(ROW()-8)+1,262))/Beta!$O$9*100,1)</f>
        <v>109.9</v>
      </c>
      <c r="Y25" t="n">
        <f>ROUND(INDEX(Beta!$P$9:$P$270,MIN(4*(ROW()-8)+1,262))/Beta!$P$9*100,1)</f>
        <v>102.8</v>
      </c>
      <c r="Z25" t="n">
        <f>ROUND(INDEX(Beta!$Q$9:$Q$270,MIN(4*(ROW()-8)+1,262))/Beta!$Q$9*100,1)</f>
        <v>85.5</v>
      </c>
      <c r="AB25" t="s">
        <v>632</v>
      </c>
      <c r="AC25" t="s">
        <v>666</v>
      </c>
    </row>
    <row r="26" ht="15.75" customHeight="1">
      <c r="A26" s="11"/>
      <c r="B26" s="292"/>
      <c r="C26" s="292"/>
      <c r="D26" s="292"/>
      <c r="E26" s="292"/>
      <c r="F26" s="292"/>
      <c r="G26" s="292"/>
      <c r="H26" s="292"/>
      <c r="I26" s="292"/>
      <c r="J26" s="292"/>
      <c r="K26" s="292"/>
      <c r="L26" s="294"/>
      <c r="M26" s="294"/>
      <c r="N26" s="294"/>
      <c r="O26" s="294"/>
      <c r="P26" s="294"/>
      <c r="Q26" s="294"/>
      <c r="R26" s="294"/>
      <c r="S26" s="294"/>
      <c r="T26" s="294"/>
      <c r="U26" s="11"/>
      <c r="W26" t="str">
        <f>TEXT(INDEX(Beta!$N$9:$N$270,MIN(4*(ROW()-8)+1,262)),"mmm-yy")</f>
        <v>Nov-22</v>
      </c>
      <c r="X26" t="n">
        <f>ROUND(INDEX(Beta!$O$9:$O$270,MIN(4*(ROW()-8)+1,262))/Beta!$O$9*100,1)</f>
        <v>123.1</v>
      </c>
      <c r="Y26" t="n">
        <f>ROUND(INDEX(Beta!$P$9:$P$270,MIN(4*(ROW()-8)+1,262))/Beta!$P$9*100,1)</f>
        <v>107.7</v>
      </c>
      <c r="Z26" t="n">
        <f>ROUND(INDEX(Beta!$Q$9:$Q$270,MIN(4*(ROW()-8)+1,262))/Beta!$Q$9*100,1)</f>
        <v>94.5</v>
      </c>
      <c r="AB26" t="s">
        <v>636</v>
      </c>
      <c r="AE26" s="123" t="s">
        <v>632</v>
      </c>
      <c r="AF26" s="123" t="s">
        <v>667</v>
      </c>
      <c r="AG26" s="123" t="s">
        <v>668</v>
      </c>
      <c r="AH26" t="s">
        <v>669</v>
      </c>
    </row>
    <row r="27" ht="15.75" customHeight="1">
      <c r="A27" s="11"/>
      <c r="B27" s="292"/>
      <c r="C27" s="292"/>
      <c r="D27" s="292"/>
      <c r="E27" s="292"/>
      <c r="F27" s="292"/>
      <c r="G27" s="292"/>
      <c r="H27" s="292"/>
      <c r="I27" s="292"/>
      <c r="J27" s="294"/>
      <c r="K27" s="294"/>
      <c r="L27" s="294"/>
      <c r="M27" s="294"/>
      <c r="N27" s="294"/>
      <c r="O27" s="294"/>
      <c r="P27" s="294"/>
      <c r="Q27" s="294"/>
      <c r="R27" s="294"/>
      <c r="S27" s="294"/>
      <c r="T27" s="294"/>
      <c r="U27" s="11"/>
      <c r="W27" t="str">
        <f>TEXT(INDEX(Beta!$N$9:$N$270,MIN(4*(ROW()-8)+1,262)),"mmm-yy")</f>
        <v>Dec-22</v>
      </c>
      <c r="X27" t="n">
        <f>ROUND(INDEX(Beta!$O$9:$O$270,MIN(4*(ROW()-8)+1,262))/Beta!$O$9*100,1)</f>
        <v>122.9</v>
      </c>
      <c r="Y27" t="n">
        <f>ROUND(INDEX(Beta!$P$9:$P$270,MIN(4*(ROW()-8)+1,262))/Beta!$P$9*100,1)</f>
        <v>104</v>
      </c>
      <c r="Z27" t="n">
        <f>ROUND(INDEX(Beta!$Q$9:$Q$270,MIN(4*(ROW()-8)+1,262))/Beta!$Q$9*100,1)</f>
        <v>96</v>
      </c>
      <c r="AB27" t="s">
        <v>637</v>
      </c>
      <c r="AC27" s="178" t="n">
        <f>Forecasts!H15/Forecasts!G15-1</f>
        <v>0.19301813624969388</v>
      </c>
      <c r="AD27" s="289"/>
      <c r="AE27" t="s">
        <v>48</v>
      </c>
      <c r="AF27" s="290" t="n">
        <f>Forecasts!K15/1000000</f>
        <v>7.145768</v>
      </c>
      <c r="AG27" s="290" t="n">
        <f>'Free Cash Flows'!K18/1000000</f>
        <v>1.4181817043028442</v>
      </c>
      <c r="AH27" s="291" t="n">
        <f>Forecasts!K15/Forecasts!J15-1</f>
        <v>0.07025959655325087</v>
      </c>
      <c r="AI27" s="289"/>
      <c r="AJ27" s="289"/>
      <c r="AK27" s="289"/>
      <c r="AL27" s="289"/>
      <c r="AM27" s="289"/>
      <c r="AN27" s="289"/>
      <c r="AO27" s="289"/>
      <c r="AP27" s="289"/>
      <c r="AQ27" s="289"/>
      <c r="AR27" s="289"/>
      <c r="AS27" s="289"/>
      <c r="AT27" s="289"/>
      <c r="AU27" s="289"/>
      <c r="AV27" s="289"/>
      <c r="AW27" s="289"/>
      <c r="AX27" s="289"/>
      <c r="AY27" s="289"/>
      <c r="AZ27" s="289"/>
      <c r="BA27" s="289"/>
      <c r="BB27" s="289"/>
      <c r="BC27" s="289"/>
      <c r="BD27" s="289"/>
      <c r="BE27" s="289"/>
      <c r="BF27" s="289"/>
      <c r="BG27" s="289"/>
      <c r="BH27" s="289"/>
      <c r="BI27" s="289"/>
      <c r="BJ27" s="289"/>
      <c r="BK27" s="289"/>
      <c r="BL27" s="289"/>
      <c r="BM27" s="289"/>
      <c r="BN27" s="289"/>
      <c r="BO27" s="289"/>
    </row>
    <row r="28" ht="15.75" customHeight="1">
      <c r="A28" s="11"/>
      <c r="B28" s="294"/>
      <c r="C28" s="294"/>
      <c r="D28" s="294"/>
      <c r="E28" s="294"/>
      <c r="F28" s="294"/>
      <c r="G28" s="294"/>
      <c r="H28" s="294"/>
      <c r="I28" s="294"/>
      <c r="J28" s="294"/>
      <c r="K28" s="294"/>
      <c r="L28" s="294"/>
      <c r="M28" s="294"/>
      <c r="N28" s="294"/>
      <c r="O28" s="294"/>
      <c r="P28" s="294"/>
      <c r="Q28" s="294"/>
      <c r="R28" s="294"/>
      <c r="S28" s="294"/>
      <c r="T28" s="294"/>
      <c r="U28" s="11"/>
      <c r="W28" t="str">
        <f>TEXT(INDEX(Beta!$N$9:$N$270,MIN(4*(ROW()-8)+1,262)),"mmm-yy")</f>
        <v>Jan-23</v>
      </c>
      <c r="X28" t="n">
        <f>ROUND(INDEX(Beta!$O$9:$O$270,MIN(4*(ROW()-8)+1,262))/Beta!$O$9*100,1)</f>
        <v>122.6</v>
      </c>
      <c r="Y28" t="n">
        <f>ROUND(INDEX(Beta!$P$9:$P$270,MIN(4*(ROW()-8)+1,262))/Beta!$P$9*100,1)</f>
        <v>102.1</v>
      </c>
      <c r="Z28" t="n">
        <f>ROUND(INDEX(Beta!$Q$9:$Q$270,MIN(4*(ROW()-8)+1,262))/Beta!$Q$9*100,1)</f>
        <v>97.1</v>
      </c>
      <c r="AB28" t="s">
        <v>641</v>
      </c>
      <c r="AC28" s="178" t="n">
        <f>Forecasts!I15/Forecasts!H15-1</f>
        <v>0.17170723971758828</v>
      </c>
      <c r="AE28" t="s">
        <v>639</v>
      </c>
      <c r="AF28" s="290" t="n">
        <f>Forecasts!L15/1000000</f>
        <v>7.510797995</v>
      </c>
      <c r="AG28" s="290" t="n">
        <f>'Free Cash Flows'!L18/1000000</f>
        <v>1.399598158221471</v>
      </c>
      <c r="AH28" s="291" t="n">
        <f>Forecasts!L15/Forecasts!K15-1</f>
        <v>0.05108338180024874</v>
      </c>
    </row>
    <row r="29" ht="15.75" customHeight="1">
      <c r="A29" s="11"/>
      <c r="B29" s="294"/>
      <c r="C29" s="294"/>
      <c r="D29" s="294"/>
      <c r="E29" s="294"/>
      <c r="F29" s="294"/>
      <c r="G29" s="294"/>
      <c r="H29" s="294"/>
      <c r="I29" s="294"/>
      <c r="J29" s="294"/>
      <c r="K29" s="294"/>
      <c r="L29" s="294"/>
      <c r="M29" s="294"/>
      <c r="N29" s="294"/>
      <c r="O29" s="294"/>
      <c r="P29" s="294"/>
      <c r="Q29" s="294"/>
      <c r="R29" s="294"/>
      <c r="S29" s="294"/>
      <c r="T29" s="294"/>
      <c r="U29" s="11"/>
      <c r="W29" t="str">
        <f>TEXT(INDEX(Beta!$N$9:$N$270,MIN(4*(ROW()-8)+1,262)),"mmm-yy")</f>
        <v>Feb-23</v>
      </c>
      <c r="X29" t="n">
        <f>ROUND(INDEX(Beta!$O$9:$O$270,MIN(4*(ROW()-8)+1,262))/Beta!$O$9*100,1)</f>
        <v>142</v>
      </c>
      <c r="Y29" t="n">
        <f>ROUND(INDEX(Beta!$P$9:$P$270,MIN(4*(ROW()-8)+1,262))/Beta!$P$9*100,1)</f>
        <v>106.6</v>
      </c>
      <c r="Z29" t="n">
        <f>ROUND(INDEX(Beta!$Q$9:$Q$270,MIN(4*(ROW()-8)+1,262))/Beta!$Q$9*100,1)</f>
        <v>100.7</v>
      </c>
      <c r="AB29" t="s">
        <v>643</v>
      </c>
      <c r="AC29" s="178" t="n">
        <f>Forecasts!J15/Forecasts!I15-1</f>
        <v>0.1183424994966622</v>
      </c>
      <c r="AE29" t="s">
        <v>670</v>
      </c>
      <c r="AF29" s="290" t="n">
        <f>Forecasts!M15/1000000</f>
        <v>7.954944934324999</v>
      </c>
      <c r="AG29" s="290" t="n">
        <f>'Free Cash Flows'!M18/1000000</f>
        <v>1.5224928281492833</v>
      </c>
      <c r="AH29" s="291" t="n">
        <f>Forecasts!M15/Forecasts!L15-1</f>
        <v>0.05913445410469986</v>
      </c>
    </row>
    <row r="30" ht="15.75" customHeight="1">
      <c r="A30" s="11"/>
      <c r="B30" s="292"/>
      <c r="C30" s="292"/>
      <c r="D30" s="292"/>
      <c r="E30" s="292"/>
      <c r="F30" s="292"/>
      <c r="G30" s="292"/>
      <c r="H30" s="292"/>
      <c r="I30" s="292"/>
      <c r="J30" s="292"/>
      <c r="K30" s="292"/>
      <c r="L30" s="293"/>
      <c r="M30" s="293"/>
      <c r="N30" s="293"/>
      <c r="O30" s="293"/>
      <c r="P30" s="293"/>
      <c r="Q30" s="293"/>
      <c r="R30" s="293"/>
      <c r="S30" s="293"/>
      <c r="T30" s="293"/>
      <c r="U30" s="11"/>
      <c r="W30" t="str">
        <f>TEXT(INDEX(Beta!$N$9:$N$270,MIN(4*(ROW()-8)+1,262)),"mmm-yy")</f>
        <v>Mar-23</v>
      </c>
      <c r="X30" t="n">
        <f>ROUND(INDEX(Beta!$O$9:$O$270,MIN(4*(ROW()-8)+1,262))/Beta!$O$9*100,1)</f>
        <v>150.4</v>
      </c>
      <c r="Y30" t="n">
        <f>ROUND(INDEX(Beta!$P$9:$P$270,MIN(4*(ROW()-8)+1,262))/Beta!$P$9*100,1)</f>
        <v>106.2</v>
      </c>
      <c r="Z30" t="n">
        <f>ROUND(INDEX(Beta!$Q$9:$Q$270,MIN(4*(ROW()-8)+1,262))/Beta!$Q$9*100,1)</f>
        <v>101.4</v>
      </c>
      <c r="AB30" t="s">
        <v>645</v>
      </c>
      <c r="AC30" s="178" t="n">
        <f>Forecasts!K15/Forecasts!J15-1</f>
        <v>0.07025959655325087</v>
      </c>
      <c r="AE30" t="s">
        <v>671</v>
      </c>
      <c r="AF30" s="290" t="n">
        <f>Forecasts!N15/1000000</f>
        <v>8.421809644819373</v>
      </c>
      <c r="AG30" s="290" t="n">
        <f>'Free Cash Flows'!N18/1000000</f>
        <v>1.6478070367750888</v>
      </c>
      <c r="AH30" s="291" t="n">
        <f>Forecasts!N15/Forecasts!M15-1</f>
        <v>0.05868861624420396</v>
      </c>
    </row>
    <row r="31" ht="15.75" customHeight="1">
      <c r="A31" s="11"/>
      <c r="B31" s="292"/>
      <c r="C31" s="292"/>
      <c r="D31" s="292"/>
      <c r="E31" s="292"/>
      <c r="F31" s="292"/>
      <c r="G31" s="292"/>
      <c r="H31" s="292"/>
      <c r="I31" s="292"/>
      <c r="J31" s="292"/>
      <c r="K31" s="292"/>
      <c r="L31" s="293"/>
      <c r="M31" s="293"/>
      <c r="N31" s="293"/>
      <c r="O31" s="293"/>
      <c r="P31" s="293"/>
      <c r="Q31" s="293"/>
      <c r="R31" s="293"/>
      <c r="S31" s="293"/>
      <c r="T31" s="293"/>
      <c r="U31" s="11"/>
      <c r="W31" t="str">
        <f>TEXT(INDEX(Beta!$N$9:$N$270,MIN(4*(ROW()-8)+1,262)),"mmm-yy")</f>
        <v>Mar-23</v>
      </c>
      <c r="X31" t="n">
        <f>ROUND(INDEX(Beta!$O$9:$O$270,MIN(4*(ROW()-8)+1,262))/Beta!$O$9*100,1)</f>
        <v>146.3</v>
      </c>
      <c r="Y31" t="n">
        <f>ROUND(INDEX(Beta!$P$9:$P$270,MIN(4*(ROW()-8)+1,262))/Beta!$P$9*100,1)</f>
        <v>105.4</v>
      </c>
      <c r="Z31" t="n">
        <f>ROUND(INDEX(Beta!$Q$9:$Q$270,MIN(4*(ROW()-8)+1,262))/Beta!$Q$9*100,1)</f>
        <v>100</v>
      </c>
      <c r="AB31" t="s">
        <v>647</v>
      </c>
      <c r="AC31" s="178" t="n">
        <f>Forecasts!L15/Forecasts!K15-1</f>
        <v>0.05108338180024874</v>
      </c>
      <c r="AE31" t="s">
        <v>672</v>
      </c>
      <c r="AF31" s="290" t="n">
        <f>Forecasts!O15/1000000</f>
        <v>8.87694934728291</v>
      </c>
      <c r="AG31" s="290" t="n">
        <f>'Free Cash Flows'!O18/1000000</f>
        <v>1.7873474433198786</v>
      </c>
      <c r="AH31" s="291" t="n">
        <f>Forecasts!O15/Forecasts!N15-1</f>
        <v>0.054042981456308814</v>
      </c>
    </row>
    <row r="32" ht="15.75" customHeight="1">
      <c r="A32" s="11"/>
      <c r="B32" s="292"/>
      <c r="C32" s="292"/>
      <c r="D32" s="292"/>
      <c r="E32" s="292"/>
      <c r="F32" s="292"/>
      <c r="G32" s="292"/>
      <c r="H32" s="292"/>
      <c r="I32" s="292"/>
      <c r="J32" s="292"/>
      <c r="K32" s="292"/>
      <c r="L32" s="293"/>
      <c r="M32" s="293"/>
      <c r="N32" s="293"/>
      <c r="O32" s="293"/>
      <c r="P32" s="293"/>
      <c r="Q32" s="293"/>
      <c r="R32" s="293"/>
      <c r="S32" s="293"/>
      <c r="T32" s="293"/>
      <c r="U32" s="11"/>
      <c r="W32" t="str">
        <f>TEXT(INDEX(Beta!$N$9:$N$270,MIN(4*(ROW()-8)+1,262)),"mmm-yy")</f>
        <v>Apr-23</v>
      </c>
      <c r="X32" t="n">
        <f>ROUND(INDEX(Beta!$O$9:$O$270,MIN(4*(ROW()-8)+1,262))/Beta!$O$9*100,1)</f>
        <v>148</v>
      </c>
      <c r="Y32" t="n">
        <f>ROUND(INDEX(Beta!$P$9:$P$270,MIN(4*(ROW()-8)+1,262))/Beta!$P$9*100,1)</f>
        <v>105.4</v>
      </c>
      <c r="Z32" t="n">
        <f>ROUND(INDEX(Beta!$Q$9:$Q$270,MIN(4*(ROW()-8)+1,262))/Beta!$Q$9*100,1)</f>
        <v>102</v>
      </c>
      <c r="AB32" t="s">
        <v>649</v>
      </c>
      <c r="AC32" s="178" t="n">
        <f>Forecasts!M15/Forecasts!L15-1</f>
        <v>0.05913445410469986</v>
      </c>
      <c r="AE32" t="s">
        <v>673</v>
      </c>
      <c r="AF32" s="290" t="n">
        <f>Forecasts!P15/1000000</f>
        <v>9.3153954162032</v>
      </c>
      <c r="AG32" s="290" t="n">
        <f>'Free Cash Flows'!P18/1000000</f>
        <v>1.9073447640724297</v>
      </c>
      <c r="AH32" s="291" t="n">
        <f>Forecasts!P15/Forecasts!O15-1</f>
        <v>0.049391525372902256</v>
      </c>
    </row>
    <row r="33" ht="15.75" customHeight="1">
      <c r="A33" s="11"/>
      <c r="B33" s="292"/>
      <c r="C33" s="292"/>
      <c r="D33" s="292"/>
      <c r="E33" s="292"/>
      <c r="F33" s="292"/>
      <c r="G33" s="292"/>
      <c r="H33" s="292"/>
      <c r="I33" s="292"/>
      <c r="J33" s="292"/>
      <c r="K33" s="292"/>
      <c r="L33" s="293"/>
      <c r="M33" s="293"/>
      <c r="N33" s="293"/>
      <c r="O33" s="293"/>
      <c r="P33" s="293"/>
      <c r="Q33" s="293"/>
      <c r="R33" s="293"/>
      <c r="S33" s="293"/>
      <c r="T33" s="293"/>
      <c r="U33" s="11"/>
      <c r="W33" t="str">
        <f>TEXT(INDEX(Beta!$N$9:$N$270,MIN(4*(ROW()-8)+1,262)),"mmm-yy")</f>
        <v>May-23</v>
      </c>
      <c r="X33" t="n">
        <f>ROUND(INDEX(Beta!$O$9:$O$270,MIN(4*(ROW()-8)+1,262))/Beta!$O$9*100,1)</f>
        <v>159.4</v>
      </c>
      <c r="Y33" t="n">
        <f>ROUND(INDEX(Beta!$P$9:$P$270,MIN(4*(ROW()-8)+1,262))/Beta!$P$9*100,1)</f>
        <v>109.4</v>
      </c>
      <c r="Z33" t="n">
        <f>ROUND(INDEX(Beta!$Q$9:$Q$270,MIN(4*(ROW()-8)+1,262))/Beta!$Q$9*100,1)</f>
        <v>100.8</v>
      </c>
      <c r="AB33" t="s">
        <v>651</v>
      </c>
      <c r="AC33" s="178" t="n">
        <f>Forecasts!N15/Forecasts!M15-1</f>
        <v>0.05868861624420396</v>
      </c>
      <c r="AE33" t="s">
        <v>674</v>
      </c>
      <c r="AF33" s="290" t="n">
        <f>Forecasts!Q15/1000000</f>
        <v>9.736492588520115</v>
      </c>
      <c r="AG33" s="290" t="n">
        <f>'Free Cash Flows'!Q18/1000000</f>
        <v>2.016240582665467</v>
      </c>
      <c r="AH33" s="291" t="n">
        <f>Forecasts!Q15/Forecasts!P15-1</f>
        <v>0.04520443346768266</v>
      </c>
    </row>
    <row r="34" ht="15.75" customHeight="1">
      <c r="A34" s="11"/>
      <c r="B34" s="292"/>
      <c r="C34" s="292"/>
      <c r="D34" s="292"/>
      <c r="E34" s="292"/>
      <c r="F34" s="292"/>
      <c r="G34" s="292"/>
      <c r="H34" s="292"/>
      <c r="I34" s="292"/>
      <c r="J34" s="292"/>
      <c r="K34" s="292"/>
      <c r="L34" s="293"/>
      <c r="M34" s="293"/>
      <c r="N34" s="293"/>
      <c r="O34" s="293"/>
      <c r="P34" s="293"/>
      <c r="Q34" s="293"/>
      <c r="R34" s="293"/>
      <c r="S34" s="293"/>
      <c r="T34" s="293"/>
      <c r="U34" s="11"/>
      <c r="W34" t="str">
        <f>TEXT(INDEX(Beta!$N$9:$N$270,MIN(4*(ROW()-8)+1,262)),"mmm-yy")</f>
        <v>Jun-23</v>
      </c>
      <c r="X34" t="n">
        <f>ROUND(INDEX(Beta!$O$9:$O$270,MIN(4*(ROW()-8)+1,262))/Beta!$O$9*100,1)</f>
        <v>165.8</v>
      </c>
      <c r="Y34" t="n">
        <f>ROUND(INDEX(Beta!$P$9:$P$270,MIN(4*(ROW()-8)+1,262))/Beta!$P$9*100,1)</f>
        <v>111.4</v>
      </c>
      <c r="Z34" t="n">
        <f>ROUND(INDEX(Beta!$Q$9:$Q$270,MIN(4*(ROW()-8)+1,262))/Beta!$Q$9*100,1)</f>
        <v>99</v>
      </c>
      <c r="AB34" t="s">
        <v>654</v>
      </c>
      <c r="AC34" s="178" t="n">
        <f>Forecasts!O15/Forecasts!N15-1</f>
        <v>0.054042981456308814</v>
      </c>
      <c r="AE34" t="s">
        <v>675</v>
      </c>
      <c r="AF34" s="290" t="n">
        <f>Forecasts!R15/1000000</f>
        <v>10.131738468563562</v>
      </c>
      <c r="AG34" s="290" t="n">
        <f>'Free Cash Flows'!R18/1000000</f>
        <v>2.1192413812929347</v>
      </c>
      <c r="AH34" s="291" t="n">
        <f>Forecasts!R15/Forecasts!Q15-1</f>
        <v>0.04059427729750076</v>
      </c>
    </row>
    <row r="35" ht="15.75" customHeight="1">
      <c r="A35" s="11"/>
      <c r="B35" s="292"/>
      <c r="C35" s="292"/>
      <c r="D35" s="292"/>
      <c r="E35" s="292"/>
      <c r="F35" s="292"/>
      <c r="G35" s="292"/>
      <c r="H35" s="292"/>
      <c r="I35" s="292"/>
      <c r="J35" s="292"/>
      <c r="K35" s="292"/>
      <c r="L35" s="293"/>
      <c r="M35" s="293"/>
      <c r="N35" s="293"/>
      <c r="O35" s="293"/>
      <c r="P35" s="293"/>
      <c r="Q35" s="293"/>
      <c r="R35" s="293"/>
      <c r="S35" s="293"/>
      <c r="T35" s="293"/>
      <c r="U35" s="11"/>
      <c r="W35" t="str">
        <f>TEXT(INDEX(Beta!$N$9:$N$270,MIN(4*(ROW()-8)+1,262)),"mmm-yy")</f>
        <v>Jul-23</v>
      </c>
      <c r="X35" t="n">
        <f>ROUND(INDEX(Beta!$O$9:$O$270,MIN(4*(ROW()-8)+1,262))/Beta!$O$9*100,1)</f>
        <v>168.2</v>
      </c>
      <c r="Y35" t="n">
        <f>ROUND(INDEX(Beta!$P$9:$P$270,MIN(4*(ROW()-8)+1,262))/Beta!$P$9*100,1)</f>
        <v>113.7</v>
      </c>
      <c r="Z35" t="n">
        <f>ROUND(INDEX(Beta!$Q$9:$Q$270,MIN(4*(ROW()-8)+1,262))/Beta!$Q$9*100,1)</f>
        <v>101.7</v>
      </c>
      <c r="AB35" t="s">
        <v>655</v>
      </c>
      <c r="AC35" s="178" t="n">
        <f>Forecasts!P15/Forecasts!O15-1</f>
        <v>0.049391525372902256</v>
      </c>
      <c r="AE35" t="s">
        <v>676</v>
      </c>
      <c r="AF35" s="290" t="n">
        <f>Forecasts!S15/1000000</f>
        <v>10.486925186598649</v>
      </c>
      <c r="AG35" s="290" t="n">
        <f>'Free Cash Flows'!S18/1000000</f>
        <v>2.231977264153697</v>
      </c>
      <c r="AH35" s="291" t="n">
        <f>Forecasts!S15/Forecasts!R15-1</f>
        <v>0.03505683838337803</v>
      </c>
    </row>
    <row r="36" ht="15.75" customHeight="1">
      <c r="A36" s="11"/>
      <c r="B36" s="292"/>
      <c r="C36" s="292"/>
      <c r="D36" s="292"/>
      <c r="E36" s="292"/>
      <c r="F36" s="292"/>
      <c r="G36" s="292"/>
      <c r="H36" s="292"/>
      <c r="I36" s="292"/>
      <c r="J36" s="292"/>
      <c r="K36" s="292"/>
      <c r="L36" s="293"/>
      <c r="M36" s="293"/>
      <c r="N36" s="293"/>
      <c r="O36" s="293"/>
      <c r="P36" s="293"/>
      <c r="Q36" s="293"/>
      <c r="R36" s="293"/>
      <c r="S36" s="293"/>
      <c r="T36" s="293"/>
      <c r="U36" s="11"/>
      <c r="W36" t="str">
        <f>TEXT(INDEX(Beta!$N$9:$N$270,MIN(4*(ROW()-8)+1,262)),"mmm-yy")</f>
        <v>Aug-23</v>
      </c>
      <c r="X36" t="n">
        <f>ROUND(INDEX(Beta!$O$9:$O$270,MIN(4*(ROW()-8)+1,262))/Beta!$O$9*100,1)</f>
        <v>164</v>
      </c>
      <c r="Y36" t="n">
        <f>ROUND(INDEX(Beta!$P$9:$P$270,MIN(4*(ROW()-8)+1,262))/Beta!$P$9*100,1)</f>
        <v>112.1</v>
      </c>
      <c r="Z36" t="n">
        <f>ROUND(INDEX(Beta!$Q$9:$Q$270,MIN(4*(ROW()-8)+1,262))/Beta!$Q$9*100,1)</f>
        <v>98</v>
      </c>
      <c r="AB36" t="s">
        <v>656</v>
      </c>
      <c r="AC36" s="178" t="n">
        <f>Forecasts!Q15/Forecasts!P15-1</f>
        <v>0.04520443346768266</v>
      </c>
      <c r="AE36" t="s">
        <v>677</v>
      </c>
      <c r="AF36" s="290" t="n">
        <f>Forecasts!T15/1000000</f>
        <v>10.848302779885262</v>
      </c>
      <c r="AG36" s="290" t="n">
        <f>'Free Cash Flows'!T18/1000000</f>
        <v>2.3304031438859942</v>
      </c>
      <c r="AH36" s="291" t="n">
        <f>Forecasts!T15/Forecasts!S15-1</f>
        <v>0.034459823719198646</v>
      </c>
    </row>
    <row r="37" ht="15.75" customHeight="1">
      <c r="A37" s="11"/>
      <c r="B37" s="292"/>
      <c r="C37" s="292"/>
      <c r="D37" s="292"/>
      <c r="E37" s="292"/>
      <c r="F37" s="292"/>
      <c r="G37" s="292"/>
      <c r="H37" s="292"/>
      <c r="I37" s="292"/>
      <c r="J37" s="292"/>
      <c r="K37" s="292"/>
      <c r="L37" s="293"/>
      <c r="M37" s="293"/>
      <c r="N37" s="293"/>
      <c r="O37" s="293"/>
      <c r="P37" s="293"/>
      <c r="Q37" s="293"/>
      <c r="R37" s="293"/>
      <c r="S37" s="293"/>
      <c r="T37" s="293"/>
      <c r="U37" s="11"/>
      <c r="W37" t="str">
        <f>TEXT(INDEX(Beta!$N$9:$N$270,MIN(4*(ROW()-8)+1,262)),"mmm-yy")</f>
        <v>Sep-23</v>
      </c>
      <c r="X37" t="n">
        <f>ROUND(INDEX(Beta!$O$9:$O$270,MIN(4*(ROW()-8)+1,262))/Beta!$O$9*100,1)</f>
        <v>166.6</v>
      </c>
      <c r="Y37" t="n">
        <f>ROUND(INDEX(Beta!$P$9:$P$270,MIN(4*(ROW()-8)+1,262))/Beta!$P$9*100,1)</f>
        <v>116.3</v>
      </c>
      <c r="Z37" t="n">
        <f>ROUND(INDEX(Beta!$Q$9:$Q$270,MIN(4*(ROW()-8)+1,262))/Beta!$Q$9*100,1)</f>
        <v>100.9</v>
      </c>
      <c r="AB37" t="s">
        <v>658</v>
      </c>
      <c r="AC37" s="178" t="n">
        <f>Forecasts!R15/Forecasts!Q15-1</f>
        <v>0.04059427729750076</v>
      </c>
      <c r="AE37" t="s">
        <v>640</v>
      </c>
      <c r="AF37" s="290" t="n">
        <f>Forecasts!U15/1000000</f>
        <v>11.163042728499603</v>
      </c>
      <c r="AG37" s="290" t="n">
        <f>'Free Cash Flows'!U18/1000000</f>
        <v>2.4119565904093854</v>
      </c>
      <c r="AH37" s="291" t="n">
        <f>Forecasts!U15/Forecasts!T15-1</f>
        <v>0.0290128285502802</v>
      </c>
    </row>
    <row r="38">
      <c r="A38" s="11"/>
      <c r="B38" s="11"/>
      <c r="C38" s="11"/>
      <c r="D38" s="11"/>
      <c r="E38" s="11"/>
      <c r="F38" s="11"/>
      <c r="G38" s="11"/>
      <c r="H38" s="11"/>
      <c r="I38" s="11"/>
      <c r="J38" s="11"/>
      <c r="K38" s="11"/>
      <c r="L38" s="11"/>
      <c r="M38" s="11"/>
      <c r="N38" s="11"/>
      <c r="O38" s="11"/>
      <c r="P38" s="11"/>
      <c r="Q38" s="11"/>
      <c r="R38" s="11"/>
      <c r="S38" s="11"/>
      <c r="T38" s="11"/>
      <c r="U38" s="11"/>
      <c r="W38" t="str">
        <f>TEXT(INDEX(Beta!$N$9:$N$270,MIN(4*(ROW()-8)+1,262)),"mmm-yy")</f>
        <v>Oct-23</v>
      </c>
      <c r="X38" t="n">
        <f>ROUND(INDEX(Beta!$O$9:$O$270,MIN(4*(ROW()-8)+1,262))/Beta!$O$9*100,1)</f>
        <v>174.4</v>
      </c>
      <c r="Y38" t="n">
        <f>ROUND(INDEX(Beta!$P$9:$P$270,MIN(4*(ROW()-8)+1,262))/Beta!$P$9*100,1)</f>
        <v>114.8</v>
      </c>
      <c r="Z38" t="n">
        <f>ROUND(INDEX(Beta!$Q$9:$Q$270,MIN(4*(ROW()-8)+1,262))/Beta!$Q$9*100,1)</f>
        <v>98.2</v>
      </c>
      <c r="AB38" t="s">
        <v>660</v>
      </c>
      <c r="AC38" s="178" t="n">
        <f>Forecasts!S15/Forecasts!R15-1</f>
        <v>0.03505683838337803</v>
      </c>
    </row>
    <row r="39">
      <c r="A39" s="11"/>
      <c r="B39" s="11"/>
      <c r="C39" s="11"/>
      <c r="D39" s="11"/>
      <c r="E39" s="11"/>
      <c r="F39" s="11"/>
      <c r="G39" s="11"/>
      <c r="H39" s="11"/>
      <c r="I39" s="11"/>
      <c r="J39" s="11"/>
      <c r="K39" s="11"/>
      <c r="L39" s="11"/>
      <c r="M39" s="11"/>
      <c r="N39" s="11"/>
      <c r="O39" s="11"/>
      <c r="P39" s="11"/>
      <c r="Q39" s="11"/>
      <c r="R39" s="11"/>
      <c r="S39" s="11"/>
      <c r="T39" s="11"/>
      <c r="U39" s="11"/>
      <c r="W39" t="str">
        <f>TEXT(INDEX(Beta!$N$9:$N$270,MIN(4*(ROW()-8)+1,262)),"mmm-yy")</f>
        <v>Nov-23</v>
      </c>
      <c r="X39" t="n">
        <f>ROUND(INDEX(Beta!$O$9:$O$270,MIN(4*(ROW()-8)+1,262))/Beta!$O$9*100,1)</f>
        <v>184.6</v>
      </c>
      <c r="Y39" t="n">
        <f>ROUND(INDEX(Beta!$P$9:$P$270,MIN(4*(ROW()-8)+1,262))/Beta!$P$9*100,1)</f>
        <v>115.3</v>
      </c>
      <c r="Z39" t="n">
        <f>ROUND(INDEX(Beta!$Q$9:$Q$270,MIN(4*(ROW()-8)+1,262))/Beta!$Q$9*100,1)</f>
        <v>96.9</v>
      </c>
      <c r="AB39" t="s">
        <v>662</v>
      </c>
      <c r="AC39" s="178" t="n">
        <f>Forecasts!T15/Forecasts!S15-1</f>
        <v>0.034459823719198646</v>
      </c>
      <c r="AE39" s="123"/>
      <c r="AF39" s="123"/>
      <c r="AG39" s="123"/>
    </row>
    <row r="40">
      <c r="A40" s="11"/>
      <c r="B40" s="11"/>
      <c r="C40" s="11"/>
      <c r="D40" s="11"/>
      <c r="E40" s="11"/>
      <c r="F40" s="11"/>
      <c r="G40" s="11"/>
      <c r="H40" s="11"/>
      <c r="I40" s="11"/>
      <c r="J40" s="11"/>
      <c r="K40" s="11"/>
      <c r="L40" s="11"/>
      <c r="M40" s="11"/>
      <c r="N40" s="11"/>
      <c r="O40" s="11"/>
      <c r="P40" s="11"/>
      <c r="Q40" s="11"/>
      <c r="R40" s="11"/>
      <c r="S40" s="11"/>
      <c r="T40" s="11"/>
      <c r="U40" s="11"/>
      <c r="W40" t="str">
        <f>TEXT(INDEX(Beta!$N$9:$N$270,MIN(4*(ROW()-8)+1,262)),"mmm-yy")</f>
        <v>Dec-23</v>
      </c>
      <c r="X40" t="n">
        <f>ROUND(INDEX(Beta!$O$9:$O$270,MIN(4*(ROW()-8)+1,262))/Beta!$O$9*100,1)</f>
        <v>199.9</v>
      </c>
      <c r="Y40" t="n">
        <f>ROUND(INDEX(Beta!$P$9:$P$270,MIN(4*(ROW()-8)+1,262))/Beta!$P$9*100,1)</f>
        <v>119.4</v>
      </c>
      <c r="Z40" t="n">
        <f>ROUND(INDEX(Beta!$Q$9:$Q$270,MIN(4*(ROW()-8)+1,262))/Beta!$Q$9*100,1)</f>
        <v>103.2</v>
      </c>
      <c r="AB40" t="s">
        <v>664</v>
      </c>
      <c r="AC40" s="178" t="n">
        <f>Forecasts!U15/Forecasts!T15-1</f>
        <v>0.0290128285502802</v>
      </c>
      <c r="AF40" s="290"/>
      <c r="AG40" s="290"/>
      <c r="AH40" s="291"/>
    </row>
    <row r="41">
      <c r="A41" s="11"/>
      <c r="B41" s="11"/>
      <c r="C41" s="11"/>
      <c r="D41" s="11"/>
      <c r="E41" s="11"/>
      <c r="F41" s="11"/>
      <c r="G41" s="11"/>
      <c r="H41" s="11"/>
      <c r="I41" s="11"/>
      <c r="J41" s="11"/>
      <c r="K41" s="11"/>
      <c r="L41" s="11"/>
      <c r="M41" s="11"/>
      <c r="N41" s="11"/>
      <c r="O41" s="11"/>
      <c r="P41" s="11"/>
      <c r="Q41" s="11"/>
      <c r="R41" s="11"/>
      <c r="S41" s="11"/>
      <c r="T41" s="11"/>
      <c r="U41" s="11"/>
      <c r="W41" t="str">
        <f>TEXT(INDEX(Beta!$N$9:$N$270,MIN(4*(ROW()-8)+1,262)),"mmm-yy")</f>
        <v>Jan-24</v>
      </c>
      <c r="X41" t="n">
        <f>ROUND(INDEX(Beta!$O$9:$O$270,MIN(4*(ROW()-8)+1,262))/Beta!$O$9*100,1)</f>
        <v>179.3</v>
      </c>
      <c r="Y41" t="n">
        <f>ROUND(INDEX(Beta!$P$9:$P$270,MIN(4*(ROW()-8)+1,262))/Beta!$P$9*100,1)</f>
        <v>119.7</v>
      </c>
      <c r="Z41" t="n">
        <f>ROUND(INDEX(Beta!$Q$9:$Q$270,MIN(4*(ROW()-8)+1,262))/Beta!$Q$9*100,1)</f>
        <v>104.1</v>
      </c>
      <c r="AF41" s="290"/>
      <c r="AG41" s="290"/>
      <c r="AH41" s="291"/>
    </row>
    <row r="42">
      <c r="A42" s="11"/>
      <c r="B42" s="11"/>
      <c r="C42" s="11"/>
      <c r="D42" s="11"/>
      <c r="E42" s="11"/>
      <c r="F42" s="11"/>
      <c r="G42" s="11"/>
      <c r="H42" s="11"/>
      <c r="I42" s="11"/>
      <c r="J42" s="11"/>
      <c r="K42" s="11"/>
      <c r="L42" s="11"/>
      <c r="M42" s="11"/>
      <c r="N42" s="11"/>
      <c r="O42" s="11"/>
      <c r="P42" s="11"/>
      <c r="Q42" s="11"/>
      <c r="R42" s="11"/>
      <c r="S42" s="11"/>
      <c r="T42" s="11"/>
      <c r="U42" s="11"/>
      <c r="W42" t="str">
        <f>TEXT(INDEX(Beta!$N$9:$N$270,MIN(4*(ROW()-8)+1,262)),"mmm-yy")</f>
        <v>Feb-24</v>
      </c>
      <c r="X42" t="n">
        <f>ROUND(INDEX(Beta!$O$9:$O$270,MIN(4*(ROW()-8)+1,262))/Beta!$O$9*100,1)</f>
        <v>203.9</v>
      </c>
      <c r="Y42" t="n">
        <f>ROUND(INDEX(Beta!$P$9:$P$270,MIN(4*(ROW()-8)+1,262))/Beta!$P$9*100,1)</f>
        <v>128.2</v>
      </c>
      <c r="Z42" t="n">
        <f>ROUND(INDEX(Beta!$Q$9:$Q$270,MIN(4*(ROW()-8)+1,262))/Beta!$Q$9*100,1)</f>
        <v>105.7</v>
      </c>
      <c r="AF42" s="290"/>
      <c r="AG42" s="290"/>
      <c r="AH42" s="291"/>
    </row>
    <row r="43">
      <c r="A43" s="11"/>
      <c r="B43" s="11"/>
      <c r="C43" s="11"/>
      <c r="D43" s="11"/>
      <c r="E43" s="11"/>
      <c r="F43" s="11"/>
      <c r="G43" s="11"/>
      <c r="H43" s="11"/>
      <c r="I43" s="11"/>
      <c r="J43" s="11"/>
      <c r="K43" s="11"/>
      <c r="L43" s="11"/>
      <c r="M43" s="11"/>
      <c r="N43" s="11"/>
      <c r="O43" s="11"/>
      <c r="P43" s="11"/>
      <c r="Q43" s="11"/>
      <c r="R43" s="11"/>
      <c r="S43" s="11"/>
      <c r="T43" s="11"/>
      <c r="U43" s="11"/>
      <c r="W43" t="str">
        <f>TEXT(INDEX(Beta!$N$9:$N$270,MIN(4*(ROW()-8)+1,262)),"mmm-yy")</f>
        <v>Mar-24</v>
      </c>
      <c r="X43" t="n">
        <f>ROUND(INDEX(Beta!$O$9:$O$270,MIN(4*(ROW()-8)+1,262))/Beta!$O$9*100,1)</f>
        <v>230.2</v>
      </c>
      <c r="Y43" t="n">
        <f>ROUND(INDEX(Beta!$P$9:$P$270,MIN(4*(ROW()-8)+1,262))/Beta!$P$9*100,1)</f>
        <v>132.2</v>
      </c>
      <c r="Z43" t="n">
        <f>ROUND(INDEX(Beta!$Q$9:$Q$270,MIN(4*(ROW()-8)+1,262))/Beta!$Q$9*100,1)</f>
        <v>108.7</v>
      </c>
      <c r="AF43" s="290"/>
      <c r="AG43" s="290"/>
      <c r="AH43" s="291"/>
    </row>
    <row r="44">
      <c r="A44" s="11"/>
      <c r="B44" s="11"/>
      <c r="C44" s="11"/>
      <c r="D44" s="11"/>
      <c r="E44" s="11"/>
      <c r="F44" s="11"/>
      <c r="G44" s="11"/>
      <c r="H44" s="11"/>
      <c r="I44" s="11"/>
      <c r="J44" s="11"/>
      <c r="K44" s="11"/>
      <c r="L44" s="11"/>
      <c r="M44" s="11"/>
      <c r="N44" s="11"/>
      <c r="O44" s="11"/>
      <c r="P44" s="11"/>
      <c r="Q44" s="11"/>
      <c r="R44" s="11"/>
      <c r="S44" s="11"/>
      <c r="T44" s="11"/>
      <c r="U44" s="11"/>
      <c r="W44" t="str">
        <f>TEXT(INDEX(Beta!$N$9:$N$270,MIN(4*(ROW()-8)+1,262)),"mmm-yy")</f>
        <v>Mar-24</v>
      </c>
      <c r="X44" t="n">
        <f>ROUND(INDEX(Beta!$O$9:$O$270,MIN(4*(ROW()-8)+1,262))/Beta!$O$9*100,1)</f>
        <v>237</v>
      </c>
      <c r="Y44" t="n">
        <f>ROUND(INDEX(Beta!$P$9:$P$270,MIN(4*(ROW()-8)+1,262))/Beta!$P$9*100,1)</f>
        <v>135.7</v>
      </c>
      <c r="Z44" t="n">
        <f>ROUND(INDEX(Beta!$Q$9:$Q$270,MIN(4*(ROW()-8)+1,262))/Beta!$Q$9*100,1)</f>
        <v>112</v>
      </c>
      <c r="AF44" s="290"/>
      <c r="AG44" s="290"/>
      <c r="AH44" s="291"/>
    </row>
    <row r="45">
      <c r="A45" s="11"/>
      <c r="B45" s="11"/>
      <c r="C45" s="11"/>
      <c r="D45" s="11"/>
      <c r="E45" s="11"/>
      <c r="F45" s="11"/>
      <c r="G45" s="11"/>
      <c r="H45" s="11"/>
      <c r="I45" s="11"/>
      <c r="J45" s="11"/>
      <c r="K45" s="11"/>
      <c r="L45" s="11"/>
      <c r="M45" s="11"/>
      <c r="N45" s="11"/>
      <c r="O45" s="11"/>
      <c r="P45" s="11"/>
      <c r="Q45" s="11"/>
      <c r="R45" s="11"/>
      <c r="S45" s="11"/>
      <c r="T45" s="11"/>
      <c r="U45" s="11"/>
      <c r="W45" t="str">
        <f>TEXT(INDEX(Beta!$N$9:$N$270,MIN(4*(ROW()-8)+1,262)),"mmm-yy")</f>
        <v>Apr-24</v>
      </c>
      <c r="X45" t="n">
        <f>ROUND(INDEX(Beta!$O$9:$O$270,MIN(4*(ROW()-8)+1,262))/Beta!$O$9*100,1)</f>
        <v>231.4</v>
      </c>
      <c r="Y45" t="n">
        <f>ROUND(INDEX(Beta!$P$9:$P$270,MIN(4*(ROW()-8)+1,262))/Beta!$P$9*100,1)</f>
        <v>133</v>
      </c>
      <c r="Z45" t="n">
        <f>ROUND(INDEX(Beta!$Q$9:$Q$270,MIN(4*(ROW()-8)+1,262))/Beta!$Q$9*100,1)</f>
        <v>111</v>
      </c>
      <c r="AF45" s="290"/>
      <c r="AG45" s="290"/>
      <c r="AH45" s="291"/>
    </row>
    <row r="46">
      <c r="A46" s="11"/>
      <c r="B46" s="11"/>
      <c r="C46" s="11"/>
      <c r="D46" s="11"/>
      <c r="E46" s="11"/>
      <c r="F46" s="11"/>
      <c r="G46" s="11"/>
      <c r="H46" s="11"/>
      <c r="I46" s="11"/>
      <c r="J46" s="11"/>
      <c r="K46" s="11"/>
      <c r="L46" s="11"/>
      <c r="M46" s="11"/>
      <c r="N46" s="11"/>
      <c r="O46" s="11"/>
      <c r="P46" s="11"/>
      <c r="Q46" s="11"/>
      <c r="R46" s="11"/>
      <c r="S46" s="11"/>
      <c r="T46" s="11"/>
      <c r="U46" s="11"/>
      <c r="W46" t="str">
        <f>TEXT(INDEX(Beta!$N$9:$N$270,MIN(4*(ROW()-8)+1,262)),"mmm-yy")</f>
        <v>May-24</v>
      </c>
      <c r="X46" t="n">
        <f>ROUND(INDEX(Beta!$O$9:$O$270,MIN(4*(ROW()-8)+1,262))/Beta!$O$9*100,1)</f>
        <v>225.3</v>
      </c>
      <c r="Y46" t="n">
        <f>ROUND(INDEX(Beta!$P$9:$P$270,MIN(4*(ROW()-8)+1,262))/Beta!$P$9*100,1)</f>
        <v>136.4</v>
      </c>
      <c r="Z46" t="n">
        <f>ROUND(INDEX(Beta!$Q$9:$Q$270,MIN(4*(ROW()-8)+1,262))/Beta!$Q$9*100,1)</f>
        <v>113.8</v>
      </c>
      <c r="AF46" s="290"/>
      <c r="AG46" s="290"/>
      <c r="AH46" s="291"/>
    </row>
    <row r="47">
      <c r="A47" s="11"/>
      <c r="B47" s="11"/>
      <c r="C47" s="11"/>
      <c r="D47" s="11"/>
      <c r="E47" s="11"/>
      <c r="F47" s="11"/>
      <c r="G47" s="11"/>
      <c r="H47" s="11"/>
      <c r="I47" s="11"/>
      <c r="J47" s="11"/>
      <c r="K47" s="11"/>
      <c r="L47" s="11"/>
      <c r="M47" s="11"/>
      <c r="N47" s="11"/>
      <c r="O47" s="11"/>
      <c r="P47" s="11"/>
      <c r="Q47" s="11"/>
      <c r="R47" s="11"/>
      <c r="S47" s="11"/>
      <c r="T47" s="11"/>
      <c r="U47" s="11"/>
      <c r="W47" t="str">
        <f>TEXT(INDEX(Beta!$N$9:$N$270,MIN(4*(ROW()-8)+1,262)),"mmm-yy")</f>
        <v>Jun-24</v>
      </c>
      <c r="X47" t="n">
        <f>ROUND(INDEX(Beta!$O$9:$O$270,MIN(4*(ROW()-8)+1,262))/Beta!$O$9*100,1)</f>
        <v>226.5</v>
      </c>
      <c r="Y47" t="n">
        <f>ROUND(INDEX(Beta!$P$9:$P$270,MIN(4*(ROW()-8)+1,262))/Beta!$P$9*100,1)</f>
        <v>142.5</v>
      </c>
      <c r="Z47" t="n">
        <f>ROUND(INDEX(Beta!$Q$9:$Q$270,MIN(4*(ROW()-8)+1,262))/Beta!$Q$9*100,1)</f>
        <v>112.6</v>
      </c>
      <c r="AF47" s="290"/>
      <c r="AG47" s="290"/>
      <c r="AH47" s="291"/>
    </row>
    <row r="48">
      <c r="A48" s="11"/>
      <c r="B48" s="11"/>
      <c r="C48" s="11"/>
      <c r="D48" s="11"/>
      <c r="E48" s="11"/>
      <c r="F48" s="11"/>
      <c r="G48" s="11"/>
      <c r="H48" s="11"/>
      <c r="I48" s="11"/>
      <c r="J48" s="11"/>
      <c r="K48" s="11"/>
      <c r="L48" s="11"/>
      <c r="M48" s="11"/>
      <c r="N48" s="11"/>
      <c r="O48" s="11"/>
      <c r="P48" s="11"/>
      <c r="Q48" s="11"/>
      <c r="R48" s="11"/>
      <c r="S48" s="11"/>
      <c r="T48" s="11"/>
      <c r="U48" s="11"/>
      <c r="W48" t="str">
        <f>TEXT(INDEX(Beta!$N$9:$N$270,MIN(4*(ROW()-8)+1,262)),"mmm-yy")</f>
        <v>Jul-24</v>
      </c>
      <c r="X48" t="n">
        <f>ROUND(INDEX(Beta!$O$9:$O$270,MIN(4*(ROW()-8)+1,262))/Beta!$O$9*100,1)</f>
        <v>225.1</v>
      </c>
      <c r="Y48" t="n">
        <f>ROUND(INDEX(Beta!$P$9:$P$270,MIN(4*(ROW()-8)+1,262))/Beta!$P$9*100,1)</f>
        <v>141</v>
      </c>
      <c r="Z48" t="n">
        <f>ROUND(INDEX(Beta!$Q$9:$Q$270,MIN(4*(ROW()-8)+1,262))/Beta!$Q$9*100,1)</f>
        <v>111.5</v>
      </c>
      <c r="AF48" s="290"/>
      <c r="AG48" s="290"/>
      <c r="AH48" s="291"/>
    </row>
    <row r="49">
      <c r="A49" s="11"/>
      <c r="B49" s="11"/>
      <c r="C49" s="11"/>
      <c r="D49" s="11"/>
      <c r="E49" s="11"/>
      <c r="F49" s="11"/>
      <c r="G49" s="11"/>
      <c r="H49" s="11"/>
      <c r="I49" s="11"/>
      <c r="J49" s="11"/>
      <c r="K49" s="11"/>
      <c r="L49" s="11"/>
      <c r="M49" s="11"/>
      <c r="N49" s="11"/>
      <c r="O49" s="11"/>
      <c r="P49" s="11"/>
      <c r="Q49" s="11"/>
      <c r="R49" s="11"/>
      <c r="S49" s="11"/>
      <c r="T49" s="11"/>
      <c r="U49" s="11"/>
      <c r="W49" t="str">
        <f>TEXT(INDEX(Beta!$N$9:$N$270,MIN(4*(ROW()-8)+1,262)),"mmm-yy")</f>
        <v>Aug-24</v>
      </c>
      <c r="X49" t="n">
        <f>ROUND(INDEX(Beta!$O$9:$O$270,MIN(4*(ROW()-8)+1,262))/Beta!$O$9*100,1)</f>
        <v>245.5</v>
      </c>
      <c r="Y49" t="n">
        <f>ROUND(INDEX(Beta!$P$9:$P$270,MIN(4*(ROW()-8)+1,262))/Beta!$P$9*100,1)</f>
        <v>140.8</v>
      </c>
      <c r="Z49" t="n">
        <f>ROUND(INDEX(Beta!$Q$9:$Q$270,MIN(4*(ROW()-8)+1,262))/Beta!$Q$9*100,1)</f>
        <v>111.8</v>
      </c>
      <c r="AF49" s="290"/>
      <c r="AG49" s="290"/>
      <c r="AH49" s="291"/>
    </row>
    <row r="50">
      <c r="A50" s="11"/>
      <c r="B50" s="11"/>
      <c r="C50" s="11"/>
      <c r="D50" s="11"/>
      <c r="E50" s="11"/>
      <c r="F50" s="11"/>
      <c r="G50" s="11"/>
      <c r="H50" s="11"/>
      <c r="I50" s="11"/>
      <c r="J50" s="11"/>
      <c r="K50" s="11"/>
      <c r="L50" s="11"/>
      <c r="M50" s="11"/>
      <c r="N50" s="11"/>
      <c r="O50" s="11"/>
      <c r="P50" s="11"/>
      <c r="Q50" s="11"/>
      <c r="R50" s="11"/>
      <c r="S50" s="11"/>
      <c r="T50" s="11"/>
      <c r="U50" s="11"/>
      <c r="W50" t="str">
        <f>TEXT(INDEX(Beta!$N$9:$N$270,MIN(4*(ROW()-8)+1,262)),"mmm-yy")</f>
        <v>Sep-24</v>
      </c>
      <c r="X50" t="n">
        <f>ROUND(INDEX(Beta!$O$9:$O$270,MIN(4*(ROW()-8)+1,262))/Beta!$O$9*100,1)</f>
        <v>249.6</v>
      </c>
      <c r="Y50" t="n">
        <f>ROUND(INDEX(Beta!$P$9:$P$270,MIN(4*(ROW()-8)+1,262))/Beta!$P$9*100,1)</f>
        <v>141.5</v>
      </c>
      <c r="Z50" t="n">
        <f>ROUND(INDEX(Beta!$Q$9:$Q$270,MIN(4*(ROW()-8)+1,262))/Beta!$Q$9*100,1)</f>
        <v>112.7</v>
      </c>
      <c r="AF50" s="290"/>
      <c r="AG50" s="290"/>
      <c r="AH50" s="291"/>
    </row>
    <row r="51">
      <c r="A51" s="11"/>
      <c r="B51" s="11"/>
      <c r="C51" s="11"/>
      <c r="D51" s="11"/>
      <c r="E51" s="11"/>
      <c r="F51" s="11"/>
      <c r="G51" s="11"/>
      <c r="H51" s="11"/>
      <c r="I51" s="11"/>
      <c r="J51" s="11"/>
      <c r="K51" s="11"/>
      <c r="L51" s="11"/>
      <c r="M51" s="11"/>
      <c r="N51" s="11"/>
      <c r="O51" s="11"/>
      <c r="P51" s="11"/>
      <c r="Q51" s="11"/>
      <c r="R51" s="11"/>
      <c r="S51" s="11"/>
      <c r="T51" s="11"/>
      <c r="U51" s="11"/>
      <c r="W51" t="str">
        <f>TEXT(INDEX(Beta!$N$9:$N$270,MIN(4*(ROW()-8)+1,262)),"mmm-yy")</f>
        <v>Oct-24</v>
      </c>
      <c r="X51" t="n">
        <f>ROUND(INDEX(Beta!$O$9:$O$270,MIN(4*(ROW()-8)+1,262))/Beta!$O$9*100,1)</f>
        <v>250.4</v>
      </c>
      <c r="Y51" t="n">
        <f>ROUND(INDEX(Beta!$P$9:$P$270,MIN(4*(ROW()-8)+1,262))/Beta!$P$9*100,1)</f>
        <v>148.2</v>
      </c>
      <c r="Z51" t="n">
        <f>ROUND(INDEX(Beta!$Q$9:$Q$270,MIN(4*(ROW()-8)+1,262))/Beta!$Q$9*100,1)</f>
        <v>114.1</v>
      </c>
    </row>
    <row r="52">
      <c r="A52" s="11"/>
      <c r="B52" s="11"/>
      <c r="C52" s="11"/>
      <c r="D52" s="11"/>
      <c r="E52" s="11"/>
      <c r="F52" s="11"/>
      <c r="G52" s="11"/>
      <c r="H52" s="11"/>
      <c r="I52" s="11"/>
      <c r="J52" s="11"/>
      <c r="K52" s="11"/>
      <c r="L52" s="11"/>
      <c r="M52" s="11"/>
      <c r="N52" s="11"/>
      <c r="O52" s="11"/>
      <c r="P52" s="11"/>
      <c r="Q52" s="11"/>
      <c r="R52" s="11"/>
      <c r="S52" s="11"/>
      <c r="T52" s="11"/>
      <c r="U52" s="11"/>
      <c r="W52" t="str">
        <f>TEXT(INDEX(Beta!$N$9:$N$270,MIN(4*(ROW()-8)+1,262)),"mmm-yy")</f>
        <v>Nov-24</v>
      </c>
      <c r="X52" t="n">
        <f>ROUND(INDEX(Beta!$O$9:$O$270,MIN(4*(ROW()-8)+1,262))/Beta!$O$9*100,1)</f>
        <v>247.4</v>
      </c>
      <c r="Y52" t="n">
        <f>ROUND(INDEX(Beta!$P$9:$P$270,MIN(4*(ROW()-8)+1,262))/Beta!$P$9*100,1)</f>
        <v>156.1</v>
      </c>
      <c r="Z52" t="n">
        <f>ROUND(INDEX(Beta!$Q$9:$Q$270,MIN(4*(ROW()-8)+1,262))/Beta!$Q$9*100,1)</f>
        <v>110.7</v>
      </c>
    </row>
    <row r="53">
      <c r="A53" s="11"/>
      <c r="B53" s="11"/>
      <c r="C53" s="11"/>
      <c r="D53" s="11"/>
      <c r="E53" s="11"/>
      <c r="F53" s="11"/>
      <c r="G53" s="11"/>
      <c r="H53" s="11"/>
      <c r="I53" s="11"/>
      <c r="J53" s="11"/>
      <c r="K53" s="11"/>
      <c r="L53" s="11"/>
      <c r="M53" s="11"/>
      <c r="N53" s="11"/>
      <c r="O53" s="11"/>
      <c r="P53" s="11"/>
      <c r="Q53" s="11"/>
      <c r="R53" s="11"/>
      <c r="S53" s="11"/>
      <c r="T53" s="11"/>
      <c r="U53" s="11"/>
      <c r="W53" t="str">
        <f>TEXT(INDEX(Beta!$N$9:$N$270,MIN(4*(ROW()-8)+1,262)),"mmm-yy")</f>
        <v>Dec-24</v>
      </c>
      <c r="X53" t="n">
        <f>ROUND(INDEX(Beta!$O$9:$O$270,MIN(4*(ROW()-8)+1,262))/Beta!$O$9*100,1)</f>
        <v>253.6</v>
      </c>
      <c r="Y53" t="n">
        <f>ROUND(INDEX(Beta!$P$9:$P$270,MIN(4*(ROW()-8)+1,262))/Beta!$P$9*100,1)</f>
        <v>161</v>
      </c>
      <c r="Z53" t="n">
        <f>ROUND(INDEX(Beta!$Q$9:$Q$270,MIN(4*(ROW()-8)+1,262))/Beta!$Q$9*100,1)</f>
        <v>113.7</v>
      </c>
    </row>
    <row r="54">
      <c r="W54" t="str">
        <f>TEXT(INDEX(Beta!$N$9:$N$270,MIN(4*(ROW()-8)+1,262)),"mmm-yy")</f>
        <v>Jan-25</v>
      </c>
      <c r="X54" t="n">
        <f>ROUND(INDEX(Beta!$O$9:$O$270,MIN(4*(ROW()-8)+1,262))/Beta!$O$9*100,1)</f>
        <v>237.8</v>
      </c>
      <c r="Y54" t="n">
        <f>ROUND(INDEX(Beta!$P$9:$P$270,MIN(4*(ROW()-8)+1,262))/Beta!$P$9*100,1)</f>
        <v>160.9</v>
      </c>
      <c r="Z54" t="n">
        <f>ROUND(INDEX(Beta!$Q$9:$Q$270,MIN(4*(ROW()-8)+1,262))/Beta!$Q$9*100,1)</f>
        <v>111</v>
      </c>
    </row>
    <row r="55">
      <c r="W55" t="str">
        <f>TEXT(INDEX(Beta!$N$9:$N$270,MIN(4*(ROW()-8)+1,262)),"mmm-yy")</f>
        <v>Jan-25</v>
      </c>
      <c r="X55" t="n">
        <f>ROUND(INDEX(Beta!$O$9:$O$270,MIN(4*(ROW()-8)+1,262))/Beta!$O$9*100,1)</f>
        <v>244.4</v>
      </c>
      <c r="Y55" t="n">
        <f>ROUND(INDEX(Beta!$P$9:$P$270,MIN(4*(ROW()-8)+1,262))/Beta!$P$9*100,1)</f>
        <v>161.7</v>
      </c>
      <c r="Z55" t="n">
        <f>ROUND(INDEX(Beta!$Q$9:$Q$270,MIN(4*(ROW()-8)+1,262))/Beta!$Q$9*100,1)</f>
        <v>117.9</v>
      </c>
    </row>
    <row r="56">
      <c r="W56" t="str">
        <f>TEXT(INDEX(Beta!$N$9:$N$270,MIN(4*(ROW()-8)+1,262)),"mmm-yy")</f>
        <v>Feb-25</v>
      </c>
      <c r="X56" t="n">
        <f>ROUND(INDEX(Beta!$O$9:$O$270,MIN(4*(ROW()-8)+1,262))/Beta!$O$9*100,1)</f>
        <v>264</v>
      </c>
      <c r="Y56" t="n">
        <f>ROUND(INDEX(Beta!$P$9:$P$270,MIN(4*(ROW()-8)+1,262))/Beta!$P$9*100,1)</f>
        <v>159.7</v>
      </c>
      <c r="Z56" t="n">
        <f>ROUND(INDEX(Beta!$Q$9:$Q$270,MIN(4*(ROW()-8)+1,262))/Beta!$Q$9*100,1)</f>
        <v>121.8</v>
      </c>
    </row>
    <row r="57">
      <c r="W57" t="str">
        <f>TEXT(INDEX(Beta!$N$9:$N$270,MIN(4*(ROW()-8)+1,262)),"mmm-yy")</f>
        <v>Mar-25</v>
      </c>
      <c r="X57" t="n">
        <f>ROUND(INDEX(Beta!$O$9:$O$270,MIN(4*(ROW()-8)+1,262))/Beta!$O$9*100,1)</f>
        <v>235.6</v>
      </c>
      <c r="Y57" t="n">
        <f>ROUND(INDEX(Beta!$P$9:$P$270,MIN(4*(ROW()-8)+1,262))/Beta!$P$9*100,1)</f>
        <v>143.8</v>
      </c>
      <c r="Z57" t="n">
        <f>ROUND(INDEX(Beta!$Q$9:$Q$270,MIN(4*(ROW()-8)+1,262))/Beta!$Q$9*100,1)</f>
        <v>118.5</v>
      </c>
    </row>
    <row r="58">
      <c r="W58" t="str">
        <f>TEXT(INDEX(Beta!$N$9:$N$270,MIN(4*(ROW()-8)+1,262)),"mmm-yy")</f>
        <v>Apr-25</v>
      </c>
      <c r="X58" t="n">
        <f>ROUND(INDEX(Beta!$O$9:$O$270,MIN(4*(ROW()-8)+1,262))/Beta!$O$9*100,1)</f>
        <v>235.7</v>
      </c>
      <c r="Y58" t="n">
        <f>ROUND(INDEX(Beta!$P$9:$P$270,MIN(4*(ROW()-8)+1,262))/Beta!$P$9*100,1)</f>
        <v>135.5</v>
      </c>
      <c r="Z58" t="n">
        <f>ROUND(INDEX(Beta!$Q$9:$Q$270,MIN(4*(ROW()-8)+1,262))/Beta!$Q$9*100,1)</f>
        <v>113.7</v>
      </c>
    </row>
    <row r="59">
      <c r="W59" t="str">
        <f>TEXT(INDEX(Beta!$N$9:$N$270,MIN(4*(ROW()-8)+1,262)),"mmm-yy")</f>
        <v>May-25</v>
      </c>
      <c r="X59" t="n">
        <f>ROUND(INDEX(Beta!$O$9:$O$270,MIN(4*(ROW()-8)+1,262))/Beta!$O$9*100,1)</f>
        <v>246.8</v>
      </c>
      <c r="Y59" t="n">
        <f>ROUND(INDEX(Beta!$P$9:$P$270,MIN(4*(ROW()-8)+1,262))/Beta!$P$9*100,1)</f>
        <v>142.5</v>
      </c>
      <c r="Z59" t="n">
        <f>ROUND(INDEX(Beta!$Q$9:$Q$270,MIN(4*(ROW()-8)+1,262))/Beta!$Q$9*100,1)</f>
        <v>119.1</v>
      </c>
    </row>
    <row r="60">
      <c r="W60" t="str">
        <f>TEXT(INDEX(Beta!$N$9:$N$270,MIN(4*(ROW()-8)+1,262)),"mmm-yy")</f>
        <v>Jun-25</v>
      </c>
      <c r="X60" t="n">
        <f>ROUND(INDEX(Beta!$O$9:$O$270,MIN(4*(ROW()-8)+1,262))/Beta!$O$9*100,1)</f>
        <v>233.9</v>
      </c>
      <c r="Y60" t="n">
        <f>ROUND(INDEX(Beta!$P$9:$P$270,MIN(4*(ROW()-8)+1,262))/Beta!$P$9*100,1)</f>
        <v>144.3</v>
      </c>
      <c r="Z60" t="n">
        <f>ROUND(INDEX(Beta!$Q$9:$Q$270,MIN(4*(ROW()-8)+1,262))/Beta!$Q$9*100,1)</f>
        <v>117.2</v>
      </c>
    </row>
    <row r="61">
      <c r="W61" t="str">
        <f>TEXT(INDEX(Beta!$N$9:$N$270,MIN(4*(ROW()-8)+1,262)),"mmm-yy")</f>
        <v>Jul-25</v>
      </c>
      <c r="X61" t="n">
        <f>ROUND(INDEX(Beta!$O$9:$O$270,MIN(4*(ROW()-8)+1,262))/Beta!$O$9*100,1)</f>
        <v>256.1</v>
      </c>
      <c r="Y61" t="n">
        <f>ROUND(INDEX(Beta!$P$9:$P$270,MIN(4*(ROW()-8)+1,262))/Beta!$P$9*100,1)</f>
        <v>151</v>
      </c>
      <c r="Z61" t="n">
        <f>ROUND(INDEX(Beta!$Q$9:$Q$270,MIN(4*(ROW()-8)+1,262))/Beta!$Q$9*100,1)</f>
        <v>119.5</v>
      </c>
    </row>
    <row r="62">
      <c r="W62" t="str">
        <f>TEXT(INDEX(Beta!$N$9:$N$270,MIN(4*(ROW()-8)+1,262)),"mmm-yy")</f>
        <v>Aug-25</v>
      </c>
      <c r="X62" t="n">
        <f>ROUND(INDEX(Beta!$O$9:$O$270,MIN(4*(ROW()-8)+1,262))/Beta!$O$9*100,1)</f>
        <v>233.2</v>
      </c>
      <c r="Y62" t="n">
        <f>ROUND(INDEX(Beta!$P$9:$P$270,MIN(4*(ROW()-8)+1,262))/Beta!$P$9*100,1)</f>
        <v>153.7</v>
      </c>
      <c r="Z62" t="n">
        <f>ROUND(INDEX(Beta!$Q$9:$Q$270,MIN(4*(ROW()-8)+1,262))/Beta!$Q$9*100,1)</f>
        <v>121</v>
      </c>
    </row>
    <row r="63">
      <c r="W63" t="str">
        <f>TEXT(INDEX(Beta!$N$9:$N$270,MIN(4*(ROW()-8)+1,262)),"mmm-yy")</f>
        <v>Sep-25</v>
      </c>
      <c r="X63" t="n">
        <f>ROUND(INDEX(Beta!$O$9:$O$270,MIN(4*(ROW()-8)+1,262))/Beta!$O$9*100,1)</f>
        <v>239</v>
      </c>
      <c r="Y63" t="n">
        <f>ROUND(INDEX(Beta!$P$9:$P$270,MIN(4*(ROW()-8)+1,262))/Beta!$P$9*100,1)</f>
        <v>156.6</v>
      </c>
      <c r="Z63" t="n">
        <f>ROUND(INDEX(Beta!$Q$9:$Q$270,MIN(4*(ROW()-8)+1,262))/Beta!$Q$9*100,1)</f>
        <v>121.2</v>
      </c>
    </row>
    <row r="64">
      <c r="W64" t="str">
        <f>TEXT(INDEX(Beta!$N$9:$N$270,MIN(4*(ROW()-8)+1,262)),"mmm-yy")</f>
        <v>Oct-25</v>
      </c>
      <c r="X64" t="n">
        <f>ROUND(INDEX(Beta!$O$9:$O$270,MIN(4*(ROW()-8)+1,262))/Beta!$O$9*100,1)</f>
        <v>201.9</v>
      </c>
      <c r="Y64" t="n">
        <f>ROUND(INDEX(Beta!$P$9:$P$270,MIN(4*(ROW()-8)+1,262))/Beta!$P$9*100,1)</f>
        <v>157.4</v>
      </c>
      <c r="Z64" t="n">
        <f>ROUND(INDEX(Beta!$Q$9:$Q$270,MIN(4*(ROW()-8)+1,262))/Beta!$Q$9*100,1)</f>
        <v>123.3</v>
      </c>
    </row>
    <row r="65">
      <c r="W65" t="str">
        <f>TEXT(INDEX(Beta!$N$9:$N$270,MIN(4*(ROW()-8)+1,262)),"mmm-yy")</f>
        <v>Nov-25</v>
      </c>
      <c r="X65" t="n">
        <f>ROUND(INDEX(Beta!$O$9:$O$270,MIN(4*(ROW()-8)+1,262))/Beta!$O$9*100,1)</f>
        <v>206.5</v>
      </c>
      <c r="Y65" t="n">
        <f>ROUND(INDEX(Beta!$P$9:$P$270,MIN(4*(ROW()-8)+1,262))/Beta!$P$9*100,1)</f>
        <v>162</v>
      </c>
      <c r="Z65" t="n">
        <f>ROUND(INDEX(Beta!$Q$9:$Q$270,MIN(4*(ROW()-8)+1,262))/Beta!$Q$9*100,1)</f>
        <v>123.4</v>
      </c>
    </row>
    <row r="66">
      <c r="W66" t="str">
        <f>TEXT(INDEX(Beta!$N$9:$N$270,MIN(4*(ROW()-8)+1,262)),"mmm-yy")</f>
        <v>Dec-25</v>
      </c>
      <c r="X66" t="n">
        <f>ROUND(INDEX(Beta!$O$9:$O$270,MIN(4*(ROW()-8)+1,262))/Beta!$O$9*100,1)</f>
        <v>199.7</v>
      </c>
      <c r="Y66" t="n">
        <f>ROUND(INDEX(Beta!$P$9:$P$270,MIN(4*(ROW()-8)+1,262))/Beta!$P$9*100,1)</f>
        <v>164.5</v>
      </c>
      <c r="Z66" t="n">
        <f>ROUND(INDEX(Beta!$Q$9:$Q$270,MIN(4*(ROW()-8)+1,262))/Beta!$Q$9*100,1)</f>
        <v>126.5</v>
      </c>
    </row>
    <row r="67">
      <c r="W67" t="str">
        <f>TEXT(INDEX(Beta!$N$9:$N$270,MIN(4*(ROW()-8)+1,262)),"mmm-yy")</f>
        <v>Jan-26</v>
      </c>
      <c r="X67" t="n">
        <f>ROUND(INDEX(Beta!$O$9:$O$270,MIN(4*(ROW()-8)+1,262))/Beta!$O$9*100,1)</f>
        <v>185.6</v>
      </c>
      <c r="Y67" t="n">
        <f>ROUND(INDEX(Beta!$P$9:$P$270,MIN(4*(ROW()-8)+1,262))/Beta!$P$9*100,1)</f>
        <v>163</v>
      </c>
      <c r="Z67" t="n">
        <f>ROUND(INDEX(Beta!$Q$9:$Q$270,MIN(4*(ROW()-8)+1,262))/Beta!$Q$9*100,1)</f>
        <v>130.3</v>
      </c>
    </row>
    <row r="68">
      <c r="W68" t="str">
        <f>TEXT(INDEX(Beta!$N$9:$N$270,MIN(4*(ROW()-8)+1,262)),"mmm-yy")</f>
        <v>Jan-26</v>
      </c>
      <c r="X68" t="n">
        <f>ROUND(INDEX(Beta!$O$9:$O$270,MIN(4*(ROW()-8)+1,262))/Beta!$O$9*100,1)</f>
        <v>164.7</v>
      </c>
      <c r="Y68" t="n">
        <f>ROUND(INDEX(Beta!$P$9:$P$270,MIN(4*(ROW()-8)+1,262))/Beta!$P$9*100,1)</f>
        <v>163</v>
      </c>
      <c r="Z68" t="n">
        <f>ROUND(INDEX(Beta!$Q$9:$Q$270,MIN(4*(ROW()-8)+1,262))/Beta!$Q$9*100,1)</f>
        <v>133.5</v>
      </c>
    </row>
    <row r="69">
      <c r="W69" t="str">
        <f>TEXT(INDEX(Beta!$N$9:$N$270,MIN(4*(ROW()-8)+1,262)),"mmm-yy")</f>
        <v>Feb-26</v>
      </c>
      <c r="X69" t="n">
        <f>ROUND(INDEX(Beta!$O$9:$O$270,MIN(4*(ROW()-8)+1,262))/Beta!$O$9*100,1)</f>
        <v>188.6</v>
      </c>
      <c r="Y69" t="n">
        <f>ROUND(INDEX(Beta!$P$9:$P$270,MIN(4*(ROW()-8)+1,262))/Beta!$P$9*100,1)</f>
        <v>162.3</v>
      </c>
      <c r="Z69" t="n">
        <f>ROUND(INDEX(Beta!$Q$9:$Q$270,MIN(4*(ROW()-8)+1,262))/Beta!$Q$9*100,1)</f>
        <v>138.5</v>
      </c>
    </row>
    <row r="70">
      <c r="W70" t="str">
        <f>TEXT(INDEX(Beta!$N$9:$N$270,MIN(4*(ROW()-8)+1,262)),"mmm-yy")</f>
        <v>Mar-26</v>
      </c>
      <c r="X70" t="n">
        <f>ROUND(INDEX(Beta!$O$9:$O$270,MIN(4*(ROW()-8)+1,262))/Beta!$O$9*100,1)</f>
        <v>163.3</v>
      </c>
      <c r="Y70" t="n">
        <f>ROUND(INDEX(Beta!$P$9:$P$270,MIN(4*(ROW()-8)+1,262))/Beta!$P$9*100,1)</f>
        <v>154.3</v>
      </c>
      <c r="Z70" t="n">
        <f>ROUND(INDEX(Beta!$Q$9:$Q$270,MIN(4*(ROW()-8)+1,262))/Beta!$Q$9*100,1)</f>
        <v>125.7</v>
      </c>
    </row>
    <row r="71">
      <c r="W71" t="str">
        <f>TEXT(INDEX(Beta!$N$9:$N$270,MIN(4*(ROW()-8)+1,262)),"mmm-yy")</f>
        <v>Apr-26</v>
      </c>
      <c r="X71" t="n">
        <f>ROUND(INDEX(Beta!$O$9:$O$270,MIN(4*(ROW()-8)+1,262))/Beta!$O$9*100,1)</f>
        <v>175.7</v>
      </c>
      <c r="Y71" t="n">
        <f>ROUND(INDEX(Beta!$P$9:$P$270,MIN(4*(ROW()-8)+1,262))/Beta!$P$9*100,1)</f>
        <v>170.5</v>
      </c>
      <c r="Z71" t="n">
        <f>ROUND(INDEX(Beta!$Q$9:$Q$270,MIN(4*(ROW()-8)+1,262))/Beta!$Q$9*100,1)</f>
        <v>133.4</v>
      </c>
    </row>
    <row r="72">
      <c r="W72" t="str">
        <f>TEXT(INDEX(Beta!$N$9:$N$270,MIN(4*(ROW()-8)+1,262)),"mmm-yy")</f>
        <v>May-26</v>
      </c>
      <c r="X72" t="n">
        <f>ROUND(INDEX(Beta!$O$9:$O$270,MIN(4*(ROW()-8)+1,262))/Beta!$O$9*100,1)</f>
        <v>176.9</v>
      </c>
      <c r="Y72" t="n">
        <f>ROUND(INDEX(Beta!$P$9:$P$270,MIN(4*(ROW()-8)+1,262))/Beta!$P$9*100,1)</f>
        <v>179.5</v>
      </c>
      <c r="Z72" t="n">
        <f>ROUND(INDEX(Beta!$Q$9:$Q$270,MIN(4*(ROW()-8)+1,262))/Beta!$Q$9*100,1)</f>
        <v>136.6</v>
      </c>
    </row>
    <row r="73">
      <c r="W73" t="str">
        <f>TEXT(INDEX(Beta!$N$9:$N$270,MIN(4*(ROW()-8)+1,262)),"mmm-yy")</f>
        <v>Jun-26</v>
      </c>
      <c r="X73" t="n">
        <f>ROUND(INDEX(Beta!$O$9:$O$270,MIN(4*(ROW()-8)+1,262))/Beta!$O$9*100,1)</f>
        <v>180.4</v>
      </c>
      <c r="Y73" t="n">
        <f>ROUND(INDEX(Beta!$P$9:$P$270,MIN(4*(ROW()-8)+1,262))/Beta!$P$9*100,1)</f>
        <v>182.4</v>
      </c>
      <c r="Z73" t="n">
        <f>ROUND(INDEX(Beta!$Q$9:$Q$270,MIN(4*(ROW()-8)+1,262))/Beta!$Q$9*100,1)</f>
        <v>138.9</v>
      </c>
    </row>
    <row r="74">
      <c r="W74" t="str">
        <f>TEXT(INDEX(Beta!$N$9:$N$270,MIN(4*(ROW()-8)+1,262)),"mmm-yy")</f>
        <v>Jun-26</v>
      </c>
      <c r="X74" t="n">
        <f>ROUND(INDEX(Beta!$O$9:$O$270,MIN(4*(ROW()-8)+1,262))/Beta!$O$9*100,1)</f>
        <v>189</v>
      </c>
      <c r="Y74" t="n">
        <f>ROUND(INDEX(Beta!$P$9:$P$270,MIN(4*(ROW()-8)+1,262))/Beta!$P$9*100,1)</f>
        <v>180</v>
      </c>
      <c r="Z74" t="n">
        <f>ROUND(INDEX(Beta!$Q$9:$Q$270,MIN(4*(ROW()-8)+1,262))/Beta!$Q$9*100,1)</f>
        <v>139</v>
      </c>
    </row>
  </sheetData>
  <mergeCells>
    <mergeCell ref="AK15:AL15"/>
    <mergeCell ref="A1:U3"/>
    <mergeCell ref="A4:G4"/>
    <mergeCell ref="H4:N4"/>
    <mergeCell ref="O4:U4"/>
    <mergeCell ref="B8:T8"/>
    <mergeCell ref="B9:C9"/>
    <mergeCell ref="D9:G9"/>
    <mergeCell ref="H9:I9"/>
    <mergeCell ref="J9:K9"/>
    <mergeCell ref="L9:T9"/>
    <mergeCell ref="B10:C10"/>
    <mergeCell ref="D10:G10"/>
    <mergeCell ref="H10:I10"/>
    <mergeCell ref="J10:K10"/>
    <mergeCell ref="L10:T10"/>
    <mergeCell ref="B11:C11"/>
    <mergeCell ref="D11:G11"/>
    <mergeCell ref="H11:I11"/>
    <mergeCell ref="J11:K11"/>
    <mergeCell ref="L11:T11"/>
    <mergeCell ref="B12:C12"/>
    <mergeCell ref="D12:G12"/>
    <mergeCell ref="H12:I12"/>
    <mergeCell ref="J12:K12"/>
    <mergeCell ref="L12:T12"/>
    <mergeCell ref="B13:C13"/>
    <mergeCell ref="D13:G13"/>
    <mergeCell ref="H13:I13"/>
    <mergeCell ref="J13:K13"/>
    <mergeCell ref="L13:T13"/>
    <mergeCell ref="B14:C14"/>
    <mergeCell ref="D14:G14"/>
    <mergeCell ref="H14:I14"/>
    <mergeCell ref="J14:K14"/>
    <mergeCell ref="L14:T14"/>
    <mergeCell ref="B15:C15"/>
    <mergeCell ref="D15:G15"/>
    <mergeCell ref="H15:I15"/>
    <mergeCell ref="J15:K15"/>
    <mergeCell ref="L15:T15"/>
    <mergeCell ref="B16:C16"/>
    <mergeCell ref="D16:G16"/>
    <mergeCell ref="H16:I16"/>
    <mergeCell ref="J16:K16"/>
    <mergeCell ref="L16:T16"/>
    <mergeCell ref="B17:C17"/>
    <mergeCell ref="D17:G17"/>
    <mergeCell ref="H17:I17"/>
    <mergeCell ref="J17:K17"/>
    <mergeCell ref="L17:T17"/>
    <mergeCell ref="B18:C18"/>
    <mergeCell ref="D18:G18"/>
    <mergeCell ref="H18:I18"/>
    <mergeCell ref="J18:K18"/>
    <mergeCell ref="L18:T18"/>
    <mergeCell ref="B19:C19"/>
    <mergeCell ref="D19:G19"/>
    <mergeCell ref="H19:I19"/>
    <mergeCell ref="J19:K19"/>
    <mergeCell ref="L19:T19"/>
    <mergeCell ref="B20:C20"/>
    <mergeCell ref="D20:G20"/>
    <mergeCell ref="H20:I20"/>
    <mergeCell ref="J20:K20"/>
    <mergeCell ref="L20:T20"/>
    <mergeCell ref="B21:C21"/>
    <mergeCell ref="D21:G21"/>
    <mergeCell ref="H21:I21"/>
    <mergeCell ref="J21:K21"/>
    <mergeCell ref="L21:T21"/>
    <mergeCell ref="B22:C22"/>
    <mergeCell ref="D22:G22"/>
    <mergeCell ref="H22:I22"/>
    <mergeCell ref="J22:K22"/>
    <mergeCell ref="L22:T22"/>
    <mergeCell ref="B23:C23"/>
    <mergeCell ref="D23:G23"/>
    <mergeCell ref="H23:I23"/>
    <mergeCell ref="J23:K23"/>
    <mergeCell ref="L23:T23"/>
    <mergeCell ref="B24:C24"/>
    <mergeCell ref="D24:G24"/>
    <mergeCell ref="H24:I24"/>
    <mergeCell ref="J24:K24"/>
    <mergeCell ref="L24:T24"/>
    <mergeCell ref="B25:C25"/>
    <mergeCell ref="D25:G25"/>
    <mergeCell ref="H25:I25"/>
    <mergeCell ref="J25:K25"/>
    <mergeCell ref="L25:T25"/>
    <mergeCell ref="B26:C26"/>
    <mergeCell ref="D26:G26"/>
    <mergeCell ref="H26:I26"/>
    <mergeCell ref="J26:K26"/>
    <mergeCell ref="L26:T26"/>
    <mergeCell ref="B27:C27"/>
    <mergeCell ref="D27:G27"/>
    <mergeCell ref="H27:I27"/>
    <mergeCell ref="J27:K27"/>
    <mergeCell ref="L27:T27"/>
    <mergeCell ref="B28:C28"/>
    <mergeCell ref="D28:G28"/>
    <mergeCell ref="H28:I28"/>
    <mergeCell ref="J28:K28"/>
    <mergeCell ref="L28:T28"/>
    <mergeCell ref="B29:C29"/>
    <mergeCell ref="D29:G29"/>
    <mergeCell ref="H29:I29"/>
    <mergeCell ref="J29:K29"/>
    <mergeCell ref="L29:T29"/>
    <mergeCell ref="B30:C30"/>
    <mergeCell ref="D30:G30"/>
    <mergeCell ref="H30:I30"/>
    <mergeCell ref="J30:K30"/>
    <mergeCell ref="L30:T30"/>
    <mergeCell ref="B31:C31"/>
    <mergeCell ref="D31:G31"/>
    <mergeCell ref="H31:I31"/>
    <mergeCell ref="J31:K31"/>
    <mergeCell ref="L31:T31"/>
    <mergeCell ref="B32:C32"/>
    <mergeCell ref="D32:G32"/>
    <mergeCell ref="H32:I32"/>
    <mergeCell ref="J32:K32"/>
    <mergeCell ref="L32:T32"/>
    <mergeCell ref="B33:C33"/>
    <mergeCell ref="D33:G33"/>
    <mergeCell ref="H33:I33"/>
    <mergeCell ref="J33:K33"/>
    <mergeCell ref="L33:T33"/>
    <mergeCell ref="B34:C34"/>
    <mergeCell ref="D34:G34"/>
    <mergeCell ref="H34:I34"/>
    <mergeCell ref="J34:K34"/>
    <mergeCell ref="L34:T34"/>
    <mergeCell ref="B35:C35"/>
    <mergeCell ref="D35:G35"/>
    <mergeCell ref="H35:I35"/>
    <mergeCell ref="J35:K35"/>
    <mergeCell ref="L35:T35"/>
    <mergeCell ref="B36:C36"/>
    <mergeCell ref="D36:G36"/>
    <mergeCell ref="H36:I36"/>
    <mergeCell ref="J36:K36"/>
    <mergeCell ref="L36:T36"/>
    <mergeCell ref="B37:C37"/>
    <mergeCell ref="D37:G37"/>
    <mergeCell ref="H37:I37"/>
    <mergeCell ref="J37:K37"/>
    <mergeCell ref="L37:T37"/>
  </mergeCells>
  <pageMargins left="0.7" right="0.7" top="0.75" bottom="0.75" header="0.3" footer="0.3"/>
  <drawing r:id="R15eaa5a7af9549e3"/>
</worksheet>
</file>

<file path=xl/worksheets/sheet25.xml><?xml version="1.0" encoding="utf-8"?>
<worksheet xmlns="http://schemas.openxmlformats.org/spreadsheetml/2006/main">
  <sheetViews>
    <sheetView showGridLines="0" workbookViewId="0"/>
  </sheetViews>
  <sheetFormatPr defaultRowHeight="15"/>
  <cols>
    <col min="1" max="1" width="28" hidden="0" customWidth="1"/>
    <col min="2" max="2" width="72" hidden="0" customWidth="1"/>
    <col min="3" max="3" width="3" hidden="0" customWidth="1"/>
    <col min="4" max="4" width="3" hidden="0" customWidth="1"/>
    <col min="5" max="5" width="3" hidden="0" customWidth="1"/>
    <col min="6" max="6" width="3" hidden="0" customWidth="1"/>
  </cols>
  <sheetData>
    <row r="1" ht="30" customHeight="1">
      <c r="A1" s="496" t="str">
        <v>Ferrari Valuation Model — Public Copy</v>
      </c>
      <c r="B1" s="496"/>
      <c r="C1" s="496"/>
      <c r="D1" s="496"/>
      <c r="E1" s="496"/>
      <c r="F1" s="496"/>
    </row>
    <row r="2" ht="30" customHeight="1">
      <c r="A2" s="496"/>
      <c r="B2" s="496"/>
      <c r="C2" s="496"/>
      <c r="D2" s="496"/>
      <c r="E2" s="496"/>
      <c r="F2" s="496"/>
    </row>
    <row r="3">
      <c r="A3" s="497"/>
      <c r="B3" s="497"/>
      <c r="C3" s="497"/>
      <c r="D3" s="497"/>
      <c r="E3" s="497"/>
      <c r="F3" s="497"/>
    </row>
    <row r="4">
      <c r="A4" s="498" t="str">
        <v>Model basis</v>
      </c>
      <c r="B4" s="497" t="str">
        <v>Academic equity-research model</v>
      </c>
      <c r="C4" s="497"/>
      <c r="D4" s="497"/>
      <c r="E4" s="497"/>
      <c r="F4" s="497"/>
    </row>
    <row r="5">
      <c r="A5" s="498" t="str">
        <v>Valuation date</v>
      </c>
      <c r="B5" s="499" t="n">
        <v>46203</v>
      </c>
      <c r="C5" s="497"/>
      <c r="D5" s="497"/>
      <c r="E5" s="497"/>
      <c r="F5" s="497"/>
    </row>
    <row r="6">
      <c r="A6" s="498" t="str">
        <v>Reference market price</v>
      </c>
      <c r="B6" s="500" t="n">
        <v>318.85</v>
      </c>
      <c r="C6" s="497"/>
      <c r="D6" s="497"/>
      <c r="E6" s="497"/>
      <c r="F6" s="497"/>
    </row>
    <row r="7">
      <c r="A7" s="498" t="str">
        <v>DCF value</v>
      </c>
      <c r="B7" s="500" t="n">
        <f>Summary!F14</f>
        <v>327.3308295429663</v>
      </c>
      <c r="C7" s="497"/>
      <c r="D7" s="497"/>
      <c r="E7" s="497"/>
      <c r="F7" s="497"/>
    </row>
    <row r="8">
      <c r="A8" s="498" t="str">
        <v>Multiples value</v>
      </c>
      <c r="B8" s="500" t="n">
        <f>Summary!F15</f>
        <v>213.00286106932913</v>
      </c>
      <c r="C8" s="497"/>
      <c r="D8" s="497"/>
      <c r="E8" s="497"/>
      <c r="F8" s="497"/>
    </row>
    <row r="9">
      <c r="A9" s="498" t="str">
        <v>DDM value</v>
      </c>
      <c r="B9" s="500" t="n">
        <f>Summary!F16</f>
        <v>337.924215186667</v>
      </c>
      <c r="C9" s="497"/>
      <c r="D9" s="497"/>
      <c r="E9" s="497"/>
      <c r="F9" s="497"/>
    </row>
    <row r="10">
      <c r="A10" s="498" t="str">
        <v>Blended target</v>
      </c>
      <c r="B10" s="500" t="n">
        <f>Summary!F17</f>
        <v>325.32211609457966</v>
      </c>
      <c r="C10" s="497"/>
      <c r="D10" s="497"/>
      <c r="E10" s="497"/>
      <c r="F10" s="497"/>
    </row>
    <row r="11">
      <c r="A11" s="498"/>
      <c r="B11" s="497"/>
      <c r="C11" s="497"/>
      <c r="D11" s="497"/>
      <c r="E11" s="497"/>
      <c r="F11" s="497"/>
    </row>
    <row r="12">
      <c r="A12" s="501" t="str">
        <v>Validation checks</v>
      </c>
      <c r="B12" s="501" t="str">
        <v>Status</v>
      </c>
      <c r="C12" s="497"/>
      <c r="D12" s="497"/>
      <c r="E12" s="497"/>
      <c r="F12" s="497"/>
    </row>
    <row r="13">
      <c r="A13" s="498" t="str">
        <v>DCF output ties to the report</v>
      </c>
      <c r="B13" s="497" t="str">
        <f>IF(ABS(B7-327.3308295)&lt;0.01,"PASS","REVIEW")</f>
        <v>PASS</v>
      </c>
      <c r="C13" s="497"/>
      <c r="D13" s="497"/>
      <c r="E13" s="497"/>
      <c r="F13" s="497"/>
    </row>
    <row r="14">
      <c r="A14" s="498" t="str">
        <v>Blended target ties to the report</v>
      </c>
      <c r="B14" s="497" t="str">
        <f>IF(ABS(B10-325.3221161)&lt;0.01,"PASS","REVIEW")</f>
        <v>PASS</v>
      </c>
      <c r="C14" s="497"/>
      <c r="D14" s="497"/>
      <c r="E14" s="497"/>
      <c r="F14" s="497"/>
    </row>
    <row r="15">
      <c r="A15" s="498" t="str">
        <v>Workbook formula-error scan</v>
      </c>
      <c r="B15" s="497" t="str">
        <v>PASS after export validation</v>
      </c>
      <c r="C15" s="497"/>
      <c r="D15" s="497"/>
      <c r="E15" s="497"/>
      <c r="F15" s="497"/>
    </row>
    <row r="16">
      <c r="A16" s="498"/>
      <c r="B16" s="497"/>
      <c r="C16" s="497"/>
      <c r="D16" s="497"/>
      <c r="E16" s="497"/>
      <c r="F16" s="497"/>
    </row>
    <row r="17">
      <c r="A17" s="501" t="str">
        <v>Review notes</v>
      </c>
      <c r="B17" s="501" t="str"/>
      <c r="C17" s="497"/>
      <c r="D17" s="497"/>
      <c r="E17" s="497"/>
      <c r="F17" s="497"/>
    </row>
    <row r="18" ht="38" customHeight="1">
      <c r="A18" s="498" t="str">
        <v>Valuation range</v>
      </c>
      <c r="B18" s="497" t="str">
        <v>The three methods produce materially different values; the blended target reflects explicit analyst weightings.</v>
      </c>
      <c r="C18" s="497"/>
      <c r="D18" s="497"/>
      <c r="E18" s="497"/>
      <c r="F18" s="497"/>
    </row>
    <row r="19" ht="38" customHeight="1">
      <c r="A19" s="498" t="str">
        <v>DDM</v>
      </c>
      <c r="B19" s="497" t="str">
        <v>The two dividend methods are highly sensitive to payout and growth assumptions.</v>
      </c>
      <c r="C19" s="497"/>
      <c r="D19" s="497"/>
      <c r="E19" s="497"/>
      <c r="F19" s="497"/>
    </row>
    <row r="20" ht="38" customHeight="1">
      <c r="A20" s="498" t="str">
        <v>Public copy</v>
      </c>
      <c r="B20" s="497" t="str">
        <v>Candidate identifiers, personal comments, private paths, and document metadata have been removed.</v>
      </c>
      <c r="C20" s="497"/>
      <c r="D20" s="497"/>
      <c r="E20" s="497"/>
      <c r="F20" s="497"/>
    </row>
  </sheetData>
  <mergeCells>
    <mergeCell ref="A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C000"/>
  </sheetPr>
  <sheetViews>
    <sheetView showGridLines="0" workbookViewId="0"/>
  </sheetViews>
  <sheetFormatPr baseColWidth="10" defaultColWidth="10.5" defaultRowHeight="16"/>
  <cols>
    <col min="2" max="2" width="2.5" customWidth="1"/>
    <col min="7" max="7" width="11.83203125" customWidth="1"/>
    <col min="8" max="8" width="10.1640625" customWidth="1"/>
    <col min="15" max="15" width="3.33203125" customWidth="1"/>
    <col min="16" max="16" width="36.33203125" customWidth="1"/>
  </cols>
  <sheetData>
    <row r="1" ht="15.75" customHeight="1">
      <c r="A1" s="300" t="s">
        <v>22</v>
      </c>
      <c r="B1" s="300"/>
      <c r="C1" s="300"/>
      <c r="D1" s="300"/>
      <c r="E1" s="300"/>
      <c r="F1" s="300"/>
      <c r="G1" s="300"/>
      <c r="H1" s="300"/>
      <c r="I1" s="300"/>
      <c r="J1" s="300"/>
      <c r="K1" s="300"/>
      <c r="L1" s="300"/>
      <c r="M1" s="300"/>
      <c r="N1" s="300"/>
      <c r="O1" s="300"/>
      <c r="P1" s="300"/>
      <c r="Q1" s="300"/>
      <c r="R1" s="300"/>
      <c r="S1" s="300"/>
      <c r="T1" s="300"/>
      <c r="U1" s="314"/>
      <c r="V1" s="314"/>
    </row>
    <row r="2" ht="15.75" customHeight="1">
      <c r="A2" s="300"/>
      <c r="B2" s="300"/>
      <c r="C2" s="300"/>
      <c r="D2" s="300"/>
      <c r="E2" s="300"/>
      <c r="F2" s="300"/>
      <c r="G2" s="300"/>
      <c r="H2" s="300"/>
      <c r="I2" s="300"/>
      <c r="J2" s="300"/>
      <c r="K2" s="300"/>
      <c r="L2" s="300"/>
      <c r="M2" s="300"/>
      <c r="N2" s="300"/>
      <c r="O2" s="300"/>
      <c r="P2" s="300"/>
      <c r="Q2" s="300"/>
      <c r="R2" s="300"/>
      <c r="S2" s="300"/>
      <c r="T2" s="300"/>
      <c r="U2" s="314"/>
      <c r="V2" s="314"/>
    </row>
    <row r="3" ht="15.75" customHeight="1">
      <c r="A3" s="300"/>
      <c r="B3" s="300"/>
      <c r="C3" s="300"/>
      <c r="D3" s="300"/>
      <c r="E3" s="300"/>
      <c r="F3" s="300"/>
      <c r="G3" s="300"/>
      <c r="H3" s="300"/>
      <c r="I3" s="300"/>
      <c r="J3" s="300"/>
      <c r="K3" s="300"/>
      <c r="L3" s="300"/>
      <c r="M3" s="300"/>
      <c r="N3" s="300"/>
      <c r="O3" s="300"/>
      <c r="P3" s="300"/>
      <c r="Q3" s="300"/>
      <c r="R3" s="300"/>
      <c r="S3" s="300"/>
      <c r="T3" s="300"/>
      <c r="U3" s="314"/>
      <c r="V3" s="314"/>
    </row>
    <row r="4" ht="4.5" customHeight="1">
      <c r="A4" s="301"/>
      <c r="B4" s="301"/>
      <c r="C4" s="301"/>
      <c r="D4" s="301"/>
      <c r="E4" s="301"/>
      <c r="F4" s="301"/>
      <c r="G4" s="301"/>
      <c r="H4" s="301"/>
      <c r="I4" s="294"/>
      <c r="J4" s="294"/>
      <c r="K4" s="294"/>
      <c r="L4" s="294"/>
      <c r="M4" s="294"/>
      <c r="N4" s="294"/>
      <c r="O4" s="294"/>
      <c r="P4" s="302"/>
      <c r="Q4" s="302"/>
      <c r="R4" s="302"/>
      <c r="S4" s="302"/>
      <c r="T4" s="302"/>
      <c r="U4" s="302"/>
      <c r="V4" s="302"/>
    </row>
    <row r="5" ht="1.5" customHeight="1">
      <c r="A5" s="312"/>
      <c r="B5" s="312"/>
      <c r="C5" s="312"/>
      <c r="D5" s="312"/>
      <c r="E5" s="312"/>
      <c r="F5" s="312"/>
      <c r="G5" s="312"/>
      <c r="H5" s="312"/>
      <c r="I5" s="312"/>
      <c r="J5" s="312"/>
      <c r="K5" s="312"/>
      <c r="L5" s="312"/>
      <c r="M5" s="312"/>
      <c r="N5" s="312"/>
      <c r="O5" s="312"/>
      <c r="P5" s="312"/>
      <c r="Q5" s="312"/>
      <c r="R5" s="312"/>
      <c r="S5" s="312"/>
      <c r="T5" s="312"/>
      <c r="U5" s="312"/>
      <c r="V5" s="312"/>
    </row>
    <row r="6" ht="15.75" customHeight="1">
      <c r="A6" s="11"/>
      <c r="B6" s="11"/>
      <c r="C6" s="11"/>
      <c r="D6" s="11"/>
      <c r="E6" s="11"/>
      <c r="F6" s="11"/>
      <c r="G6" s="11"/>
      <c r="H6" s="11"/>
      <c r="I6" s="11"/>
      <c r="J6" s="11"/>
      <c r="K6" s="11"/>
      <c r="L6" s="11"/>
      <c r="M6" s="11"/>
      <c r="N6" s="11"/>
      <c r="O6" s="11"/>
      <c r="P6" s="11"/>
      <c r="Q6" s="11"/>
      <c r="R6" s="11"/>
      <c r="S6" s="11"/>
      <c r="T6" s="11"/>
      <c r="U6" s="11"/>
      <c r="V6" s="11"/>
    </row>
    <row r="7" ht="15.75" customHeight="1">
      <c r="A7" s="11"/>
      <c r="B7" s="11"/>
      <c r="C7" s="11"/>
      <c r="D7" s="11"/>
      <c r="E7" s="11"/>
      <c r="F7" s="11"/>
      <c r="G7" s="11"/>
      <c r="H7" s="11"/>
      <c r="I7" s="11"/>
      <c r="J7" s="11"/>
      <c r="K7" s="11"/>
      <c r="L7" s="11"/>
      <c r="M7" s="11"/>
      <c r="N7" s="11"/>
      <c r="O7" s="11"/>
      <c r="P7" s="11"/>
      <c r="Q7" s="11"/>
      <c r="R7" s="11"/>
      <c r="S7" s="11"/>
      <c r="T7" s="11"/>
      <c r="U7" s="11"/>
      <c r="V7" s="11"/>
    </row>
    <row r="8" ht="15.75" customHeight="1">
      <c r="A8" s="11"/>
      <c r="B8" s="12" t="s">
        <v>23</v>
      </c>
      <c r="C8" s="11"/>
      <c r="D8" s="11"/>
      <c r="E8" s="11"/>
      <c r="F8" s="11"/>
      <c r="G8" s="11"/>
      <c r="H8" s="11"/>
      <c r="I8" s="11"/>
      <c r="J8" s="11"/>
      <c r="K8" s="11"/>
      <c r="L8" s="11"/>
      <c r="M8" s="11"/>
      <c r="N8" s="11"/>
      <c r="O8" s="11"/>
      <c r="P8" s="11"/>
      <c r="Q8" s="11"/>
      <c r="R8" s="11"/>
      <c r="S8" s="11"/>
      <c r="T8" s="11"/>
      <c r="U8" s="11"/>
      <c r="V8" s="11"/>
    </row>
    <row r="9" ht="15.75" customHeight="1">
      <c r="A9" s="11"/>
      <c r="B9" s="11"/>
      <c r="C9" s="11" t="s">
        <v>24</v>
      </c>
      <c r="D9" s="11"/>
      <c r="E9" s="11"/>
      <c r="F9" s="11" t="s">
        <v>25</v>
      </c>
      <c r="G9" s="11"/>
      <c r="H9" s="11"/>
      <c r="I9" s="11"/>
      <c r="J9" s="11"/>
      <c r="K9" s="11"/>
      <c r="L9" s="11"/>
      <c r="M9" s="11"/>
      <c r="N9" s="11"/>
      <c r="O9" s="12" t="s">
        <v>26</v>
      </c>
      <c r="P9" s="11"/>
      <c r="Q9" s="11"/>
      <c r="R9" s="11"/>
      <c r="S9" s="11"/>
      <c r="T9" s="11"/>
      <c r="U9" s="11"/>
      <c r="V9" s="11"/>
    </row>
    <row r="10" ht="15.75" customHeight="1">
      <c r="A10" s="11"/>
      <c r="B10" s="11"/>
      <c r="C10" s="11" t="s">
        <v>27</v>
      </c>
      <c r="D10" s="11"/>
      <c r="E10" s="11"/>
      <c r="F10" s="11" t="s">
        <v>28</v>
      </c>
      <c r="G10" s="11"/>
      <c r="H10" s="11"/>
      <c r="I10" s="11"/>
      <c r="J10" s="11"/>
      <c r="K10" s="11"/>
      <c r="L10" s="11"/>
      <c r="M10" s="11"/>
      <c r="N10" s="11"/>
      <c r="O10" s="11"/>
      <c r="P10" s="11" t="s">
        <v>29</v>
      </c>
      <c r="Q10" s="11"/>
      <c r="R10" s="11"/>
      <c r="S10" s="11"/>
      <c r="T10" s="11" t="str">
        <f>Forecasts!E8</f>
        <v>Base</v>
      </c>
      <c r="U10" s="11"/>
      <c r="V10" s="11"/>
    </row>
    <row r="11" ht="15.75" customHeight="1">
      <c r="A11" s="11"/>
      <c r="B11" s="11"/>
      <c r="C11" s="11" t="s">
        <v>30</v>
      </c>
      <c r="D11" s="11"/>
      <c r="E11" s="11"/>
      <c r="F11" s="11" t="s">
        <v>31</v>
      </c>
      <c r="G11" s="11"/>
      <c r="H11" s="11"/>
      <c r="I11" s="11"/>
      <c r="J11" s="11"/>
      <c r="K11" s="11"/>
      <c r="L11" s="11"/>
      <c r="M11" s="11"/>
      <c r="N11" s="11"/>
      <c r="O11" s="11"/>
      <c r="P11" s="11" t="s">
        <v>15</v>
      </c>
      <c r="Q11" s="11"/>
      <c r="R11" s="11"/>
      <c r="S11" s="11"/>
      <c r="T11" s="11" t="str">
        <f>Forecasts!K8</f>
        <v>Debt Schedule</v>
      </c>
      <c r="U11" s="11"/>
      <c r="V11" s="11"/>
    </row>
    <row r="12" ht="15.75" customHeight="1">
      <c r="A12" s="11"/>
      <c r="B12" s="11"/>
      <c r="C12" s="11" t="s">
        <v>32</v>
      </c>
      <c r="D12" s="11"/>
      <c r="E12" s="11"/>
      <c r="F12" s="11" t="s">
        <v>33</v>
      </c>
      <c r="G12" s="11"/>
      <c r="H12" s="11"/>
      <c r="I12" s="11"/>
      <c r="J12" s="11"/>
      <c r="K12" s="11"/>
      <c r="L12" s="11"/>
      <c r="M12" s="11"/>
      <c r="N12" s="11"/>
      <c r="O12" s="11"/>
      <c r="P12" s="11" t="s">
        <v>34</v>
      </c>
      <c r="Q12" s="11"/>
      <c r="R12" s="11"/>
      <c r="S12" s="11"/>
      <c r="T12" s="11" t="str">
        <f>Forecasts!P8</f>
        <v>Capex &amp; D&amp;A Schedule</v>
      </c>
      <c r="U12" s="11"/>
      <c r="V12" s="11"/>
    </row>
    <row r="13" ht="15.75" customHeight="1">
      <c r="A13" s="11"/>
      <c r="B13" s="11"/>
      <c r="C13" s="11" t="s">
        <v>35</v>
      </c>
      <c r="D13" s="11"/>
      <c r="E13" s="11"/>
      <c r="F13" s="15">
        <v>5718</v>
      </c>
      <c r="G13" s="11"/>
      <c r="H13" s="11"/>
      <c r="I13" s="11"/>
      <c r="J13" s="11"/>
      <c r="K13" s="11"/>
      <c r="L13" s="11"/>
      <c r="M13" s="11"/>
      <c r="N13" s="11"/>
      <c r="O13" s="11"/>
      <c r="P13" s="11" t="s">
        <v>36</v>
      </c>
      <c r="Q13" s="11"/>
      <c r="R13" s="11"/>
      <c r="S13" s="11"/>
      <c r="T13" s="16" t="n">
        <f>(Forecasts!U15/Forecasts!K15)^(1/10)-1</f>
        <v>0.04561876231823181</v>
      </c>
      <c r="U13" s="11"/>
      <c r="V13" s="11"/>
    </row>
    <row r="14" ht="15.75" customHeight="1">
      <c r="A14" s="11"/>
      <c r="B14" s="11"/>
      <c r="C14" s="11"/>
      <c r="D14" s="11"/>
      <c r="E14" s="11"/>
      <c r="F14" s="15"/>
      <c r="G14" s="11"/>
      <c r="H14" s="11"/>
      <c r="I14" s="11"/>
      <c r="J14" s="11"/>
      <c r="K14" s="11"/>
      <c r="L14" s="11"/>
      <c r="M14" s="11"/>
      <c r="N14" s="11"/>
      <c r="O14" s="11"/>
      <c r="P14" s="11" t="s">
        <v>37</v>
      </c>
      <c r="Q14" s="11"/>
      <c r="R14" s="11"/>
      <c r="S14" s="11"/>
      <c r="T14" s="16" t="n">
        <f>Forecasts!L37/Forecasts!L15</f>
        <v>0.29790024197089326</v>
      </c>
      <c r="U14" s="16" t="n">
        <f>Forecasts!U37/Forecasts!U15</f>
        <v>0.29835004244995095</v>
      </c>
      <c r="V14" s="11"/>
    </row>
    <row r="15" ht="15.75" customHeight="1">
      <c r="A15" s="11"/>
      <c r="B15" s="11"/>
      <c r="C15" s="11"/>
      <c r="D15" s="11"/>
      <c r="E15" s="11"/>
      <c r="F15" s="11"/>
      <c r="G15" s="11"/>
      <c r="H15" s="11"/>
      <c r="I15" s="11"/>
      <c r="J15" s="11"/>
      <c r="K15" s="11"/>
      <c r="L15" s="11"/>
      <c r="M15" s="11"/>
      <c r="N15" s="11"/>
      <c r="O15" s="11"/>
      <c r="P15" s="11" t="s">
        <v>38</v>
      </c>
      <c r="Q15" s="11"/>
      <c r="R15" s="11"/>
      <c r="S15" s="11"/>
      <c r="T15" s="16" t="n">
        <f>'Capex &amp; D&amp;A Schedule'!L15</f>
        <v>0.14</v>
      </c>
      <c r="U15" s="16" t="n">
        <f>'Capex &amp; D&amp;A Schedule'!U15</f>
        <v>0.12</v>
      </c>
      <c r="V15" s="11"/>
    </row>
    <row r="16" ht="15.75" customHeight="1">
      <c r="A16" s="11"/>
      <c r="B16" s="11"/>
      <c r="C16" s="11"/>
      <c r="D16" s="11"/>
      <c r="E16" s="11"/>
      <c r="F16" s="11"/>
      <c r="G16" s="11"/>
      <c r="H16" s="11"/>
      <c r="I16" s="11"/>
      <c r="J16" s="11"/>
      <c r="K16" s="11"/>
      <c r="L16" s="11"/>
      <c r="M16" s="11"/>
      <c r="N16" s="11"/>
      <c r="O16" s="11"/>
      <c r="P16" s="11" t="s">
        <v>39</v>
      </c>
      <c r="Q16" s="11"/>
      <c r="R16" s="11"/>
      <c r="S16" s="11"/>
      <c r="T16" s="16" t="n">
        <f>Scenarios!L30</f>
        <v>0.225</v>
      </c>
      <c r="U16" s="16" t="n">
        <f>'Debt Schedule'!F24</f>
        <v>0.4</v>
      </c>
      <c r="V16" s="11"/>
    </row>
    <row r="17" ht="15.75" customHeight="1">
      <c r="A17" s="11"/>
      <c r="B17" s="12"/>
      <c r="C17" s="11"/>
      <c r="D17" s="11"/>
      <c r="E17" s="11"/>
      <c r="F17" s="11"/>
      <c r="G17" s="11"/>
      <c r="H17" s="11"/>
      <c r="I17" s="11"/>
      <c r="J17" s="11"/>
      <c r="K17" s="11"/>
      <c r="L17" s="11"/>
      <c r="M17" s="11"/>
      <c r="N17" s="11"/>
      <c r="O17" s="11"/>
      <c r="P17" s="11" t="s">
        <v>40</v>
      </c>
      <c r="Q17" s="11"/>
      <c r="R17" s="11"/>
      <c r="S17" s="11"/>
      <c r="T17" s="17" t="n">
        <f>WACC!G35</f>
        <v>0.05836052512447313</v>
      </c>
      <c r="U17" s="17" t="n">
        <f>'DCF Valuation'!F10</f>
        <v>0.025</v>
      </c>
      <c r="V17" s="11"/>
    </row>
    <row r="18" ht="15.75" customHeight="1">
      <c r="A18" s="11"/>
      <c r="B18" s="12" t="s">
        <v>41</v>
      </c>
      <c r="C18" s="401"/>
      <c r="D18" s="401"/>
      <c r="E18" s="401"/>
      <c r="F18" s="401"/>
      <c r="G18" s="401"/>
      <c r="H18" s="401"/>
      <c r="I18" s="401"/>
      <c r="J18" s="401"/>
      <c r="K18" s="401"/>
      <c r="L18" s="401"/>
      <c r="M18" s="401"/>
      <c r="N18" s="401"/>
      <c r="O18" s="401"/>
      <c r="P18" s="401"/>
      <c r="Q18" s="401"/>
      <c r="R18" s="401"/>
      <c r="S18" s="401"/>
      <c r="T18" s="401"/>
      <c r="U18" s="11"/>
      <c r="V18" s="11"/>
    </row>
    <row r="19" ht="15.75" customHeight="1">
      <c r="A19" s="11"/>
      <c r="B19" s="11"/>
      <c r="C19" s="313" t="s">
        <v>42</v>
      </c>
      <c r="D19" s="313"/>
      <c r="E19" s="313"/>
      <c r="F19" s="313"/>
      <c r="G19" s="313"/>
      <c r="H19" s="313"/>
      <c r="I19" s="313"/>
      <c r="J19" s="313"/>
      <c r="K19" s="313"/>
      <c r="L19" s="313"/>
      <c r="M19" s="313"/>
      <c r="N19" s="313"/>
      <c r="O19" s="313"/>
      <c r="P19" s="313"/>
      <c r="Q19" s="313"/>
      <c r="R19" s="313"/>
      <c r="S19" s="313"/>
      <c r="T19" s="313"/>
      <c r="U19" s="313"/>
      <c r="V19" s="11"/>
    </row>
    <row r="20" ht="15.75" customHeight="1">
      <c r="A20" s="11"/>
      <c r="B20" s="11"/>
      <c r="C20" s="313"/>
      <c r="D20" s="313"/>
      <c r="E20" s="313"/>
      <c r="F20" s="313"/>
      <c r="G20" s="313"/>
      <c r="H20" s="313"/>
      <c r="I20" s="313"/>
      <c r="J20" s="313"/>
      <c r="K20" s="313"/>
      <c r="L20" s="313"/>
      <c r="M20" s="313"/>
      <c r="N20" s="313"/>
      <c r="O20" s="313"/>
      <c r="P20" s="313"/>
      <c r="Q20" s="313"/>
      <c r="R20" s="313"/>
      <c r="S20" s="313"/>
      <c r="T20" s="313"/>
      <c r="U20" s="313"/>
      <c r="V20" s="11"/>
    </row>
    <row r="21" ht="15.75" customHeight="1">
      <c r="A21" s="11"/>
      <c r="B21" s="11"/>
      <c r="C21" s="313"/>
      <c r="D21" s="313"/>
      <c r="E21" s="313"/>
      <c r="F21" s="313"/>
      <c r="G21" s="313"/>
      <c r="H21" s="313"/>
      <c r="I21" s="313"/>
      <c r="J21" s="313"/>
      <c r="K21" s="313"/>
      <c r="L21" s="313"/>
      <c r="M21" s="313"/>
      <c r="N21" s="313"/>
      <c r="O21" s="313"/>
      <c r="P21" s="313"/>
      <c r="Q21" s="313"/>
      <c r="R21" s="313"/>
      <c r="S21" s="313"/>
      <c r="T21" s="313"/>
      <c r="U21" s="313"/>
      <c r="V21" s="11"/>
    </row>
    <row r="22" ht="80" customHeight="1">
      <c r="A22" s="11"/>
      <c r="B22" s="11"/>
      <c r="C22" s="313"/>
      <c r="D22" s="313"/>
      <c r="E22" s="313"/>
      <c r="F22" s="313"/>
      <c r="G22" s="313"/>
      <c r="H22" s="313"/>
      <c r="I22" s="313"/>
      <c r="J22" s="313"/>
      <c r="K22" s="313"/>
      <c r="L22" s="313"/>
      <c r="M22" s="313"/>
      <c r="N22" s="313"/>
      <c r="O22" s="313"/>
      <c r="P22" s="313"/>
      <c r="Q22" s="313"/>
      <c r="R22" s="313"/>
      <c r="S22" s="313"/>
      <c r="T22" s="313"/>
      <c r="U22" s="313"/>
      <c r="V22" s="11"/>
    </row>
    <row r="23" ht="15.75" customHeight="1">
      <c r="A23" s="11"/>
      <c r="B23" s="11"/>
      <c r="C23" s="401"/>
      <c r="D23" s="401"/>
      <c r="E23" s="401"/>
      <c r="F23" s="401"/>
      <c r="G23" s="401"/>
      <c r="H23" s="401"/>
      <c r="I23" s="401"/>
      <c r="J23" s="401"/>
      <c r="K23" s="401"/>
      <c r="L23" s="401"/>
      <c r="M23" s="401"/>
      <c r="N23" s="401"/>
      <c r="O23" s="401"/>
      <c r="P23" s="402"/>
      <c r="Q23" s="402"/>
      <c r="R23" s="402"/>
      <c r="S23" s="402"/>
      <c r="T23" s="402"/>
      <c r="U23" s="403"/>
      <c r="V23" s="11"/>
    </row>
    <row r="24" ht="15.75" customHeight="1">
      <c r="A24" s="11"/>
      <c r="B24" s="12" t="s">
        <v>43</v>
      </c>
      <c r="C24" s="11"/>
      <c r="D24" s="11"/>
      <c r="E24" s="11"/>
      <c r="F24" s="11"/>
      <c r="G24" s="18" t="s">
        <v>44</v>
      </c>
      <c r="H24" s="18" t="s">
        <v>45</v>
      </c>
      <c r="I24" s="18" t="s">
        <v>46</v>
      </c>
      <c r="J24" s="18" t="s">
        <v>47</v>
      </c>
      <c r="K24" s="18" t="s">
        <v>48</v>
      </c>
      <c r="L24" s="11" t="s">
        <v>49</v>
      </c>
      <c r="M24" s="11"/>
      <c r="N24" s="11"/>
      <c r="O24" s="11"/>
      <c r="P24" s="404" t="s">
        <v>50</v>
      </c>
      <c r="Q24" s="408" t="s">
        <v>44</v>
      </c>
      <c r="R24" s="408" t="s">
        <v>45</v>
      </c>
      <c r="S24" s="408" t="s">
        <v>46</v>
      </c>
      <c r="T24" s="408" t="s">
        <v>47</v>
      </c>
      <c r="U24" s="408" t="s">
        <v>48</v>
      </c>
      <c r="V24" s="11"/>
    </row>
    <row r="25" ht="15.75" customHeight="1">
      <c r="A25" s="11"/>
      <c r="B25" s="11"/>
      <c r="C25" s="19" t="s">
        <v>51</v>
      </c>
      <c r="D25" s="11"/>
      <c r="E25" s="11"/>
      <c r="F25" s="11"/>
      <c r="G25" s="20">
        <v>11155</v>
      </c>
      <c r="H25" s="20">
        <v>13221</v>
      </c>
      <c r="I25" s="20">
        <v>13663</v>
      </c>
      <c r="J25" s="20">
        <v>13752</v>
      </c>
      <c r="K25" s="20">
        <v>13640</v>
      </c>
      <c r="L25" s="11"/>
      <c r="M25" s="11"/>
      <c r="N25" s="11"/>
      <c r="O25" s="11"/>
      <c r="P25" s="405" t="s">
        <v>52</v>
      </c>
      <c r="Q25" s="406">
        <v>5492</v>
      </c>
      <c r="R25" s="406">
        <v>5958</v>
      </c>
      <c r="S25" s="406">
        <v>6063</v>
      </c>
      <c r="T25" s="406">
        <v>6204</v>
      </c>
      <c r="U25" s="406">
        <v>6346</v>
      </c>
      <c r="V25" s="11"/>
    </row>
    <row r="26" ht="15.75" customHeight="1">
      <c r="A26" s="11"/>
      <c r="B26" s="11"/>
      <c r="C26" s="19" t="s">
        <v>53</v>
      </c>
      <c r="D26" s="11"/>
      <c r="E26" s="11"/>
      <c r="F26" s="11"/>
      <c r="G26" s="20">
        <v>318497.35544598801</v>
      </c>
      <c r="H26" s="20">
        <v>326837.60683760699</v>
      </c>
      <c r="I26" s="20">
        <v>374674.74200395198</v>
      </c>
      <c r="J26" s="20">
        <v>416498.54566608497</v>
      </c>
      <c r="K26" s="20">
        <v>440267.08211143699</v>
      </c>
      <c r="L26" s="11"/>
      <c r="M26" s="11"/>
      <c r="N26" s="11"/>
      <c r="O26" s="11"/>
      <c r="P26" s="405" t="s">
        <v>54</v>
      </c>
      <c r="Q26" s="406">
        <v>2831</v>
      </c>
      <c r="R26" s="406">
        <v>3447</v>
      </c>
      <c r="S26" s="406">
        <v>3811</v>
      </c>
      <c r="T26" s="406">
        <v>4003</v>
      </c>
      <c r="U26" s="406">
        <v>3937</v>
      </c>
      <c r="V26" s="11"/>
    </row>
    <row r="27" ht="15.75" customHeight="1">
      <c r="A27" s="11"/>
      <c r="B27" s="11"/>
      <c r="C27" s="11"/>
      <c r="D27" s="11"/>
      <c r="E27" s="11"/>
      <c r="F27" s="11"/>
      <c r="G27" s="11"/>
      <c r="H27" s="11"/>
      <c r="I27" s="11"/>
      <c r="J27" s="11"/>
      <c r="K27" s="11"/>
      <c r="L27" s="11"/>
      <c r="M27" s="11"/>
      <c r="N27" s="11"/>
      <c r="O27" s="11"/>
      <c r="P27" s="405" t="s">
        <v>55</v>
      </c>
      <c r="Q27" s="406">
        <v>899</v>
      </c>
      <c r="R27" s="406">
        <v>1552</v>
      </c>
      <c r="S27" s="406">
        <v>1490</v>
      </c>
      <c r="T27" s="406">
        <v>1162</v>
      </c>
      <c r="U27" s="406">
        <v>941</v>
      </c>
      <c r="V27" s="11"/>
    </row>
    <row r="28" ht="15.75" customHeight="1">
      <c r="A28" s="11"/>
      <c r="B28" s="11"/>
      <c r="C28" s="11"/>
      <c r="D28" s="11"/>
      <c r="E28" s="11"/>
      <c r="F28" s="11"/>
      <c r="G28" s="11"/>
      <c r="H28" s="11"/>
      <c r="I28" s="11"/>
      <c r="J28" s="11"/>
      <c r="K28" s="11"/>
      <c r="L28" s="11"/>
      <c r="M28" s="11"/>
      <c r="N28" s="11"/>
      <c r="O28" s="11"/>
      <c r="P28" s="405" t="s">
        <v>56</v>
      </c>
      <c r="Q28" s="406">
        <v>1933</v>
      </c>
      <c r="R28" s="406">
        <v>2264</v>
      </c>
      <c r="S28" s="406">
        <v>2299</v>
      </c>
      <c r="T28" s="406">
        <v>2383</v>
      </c>
      <c r="U28" s="406">
        <v>2416</v>
      </c>
      <c r="V28" s="11"/>
    </row>
    <row r="29" ht="15.75" customHeight="1">
      <c r="A29" s="11"/>
      <c r="B29" s="11"/>
      <c r="C29" s="11"/>
      <c r="D29" s="11"/>
      <c r="E29" s="11"/>
      <c r="F29" s="11"/>
      <c r="G29" s="11"/>
      <c r="H29" s="11"/>
      <c r="I29" s="11"/>
      <c r="J29" s="11"/>
      <c r="K29" s="11"/>
      <c r="L29" s="11"/>
      <c r="M29" s="11"/>
      <c r="N29" s="11"/>
      <c r="O29" s="11"/>
      <c r="P29" s="404" t="s">
        <v>57</v>
      </c>
      <c r="Q29" s="407" t="n">
        <f>SUM(Q25:Q28)</f>
        <v>11155</v>
      </c>
      <c r="R29" s="407" t="n">
        <f>SUM(R25:R28)</f>
        <v>13221</v>
      </c>
      <c r="S29" s="407" t="n">
        <f>SUM(S25:S28)</f>
        <v>13663</v>
      </c>
      <c r="T29" s="407" t="n">
        <f>SUM(T25:T28)</f>
        <v>13752</v>
      </c>
      <c r="U29" s="407" t="n">
        <f>SUM(U25:U28)</f>
        <v>13640</v>
      </c>
      <c r="V29" s="11"/>
    </row>
    <row r="30" ht="15.75" customHeight="1">
      <c r="A30" s="11"/>
      <c r="B30" s="11"/>
      <c r="C30" s="11"/>
      <c r="D30" s="11"/>
      <c r="E30" s="11"/>
      <c r="F30" s="11"/>
      <c r="G30" s="11"/>
      <c r="H30" s="11"/>
      <c r="I30" s="11"/>
      <c r="J30" s="11"/>
      <c r="K30" s="11"/>
      <c r="L30" s="11"/>
      <c r="M30" s="11"/>
      <c r="N30" s="11"/>
      <c r="O30" s="11"/>
      <c r="P30" s="11"/>
      <c r="Q30" s="11"/>
      <c r="R30" s="11"/>
      <c r="S30" s="11"/>
      <c r="T30" s="11"/>
      <c r="U30" s="11"/>
      <c r="V30" s="11"/>
    </row>
    <row r="31" ht="15.75" customHeight="1">
      <c r="A31" s="11"/>
      <c r="B31" s="11"/>
      <c r="C31" s="11"/>
      <c r="D31" s="11"/>
      <c r="E31" s="11"/>
      <c r="F31" s="11"/>
      <c r="G31" s="11"/>
      <c r="H31" s="11"/>
      <c r="I31" s="11"/>
      <c r="J31" s="11"/>
      <c r="K31" s="11"/>
      <c r="L31" s="11"/>
      <c r="M31" s="11"/>
      <c r="N31" s="11"/>
      <c r="O31" s="11"/>
      <c r="P31" s="11"/>
      <c r="Q31" s="11"/>
      <c r="R31" s="11"/>
      <c r="S31" s="11"/>
      <c r="T31" s="11"/>
      <c r="U31" s="11"/>
      <c r="V31" s="11"/>
    </row>
    <row r="32" ht="15.75" customHeight="1">
      <c r="A32" s="11"/>
      <c r="B32" s="11"/>
      <c r="C32" s="11"/>
      <c r="D32" s="11"/>
      <c r="E32" s="11"/>
      <c r="F32" s="11"/>
      <c r="G32" s="11"/>
      <c r="H32" s="11"/>
      <c r="I32" s="11"/>
      <c r="J32" s="11"/>
      <c r="K32" s="11"/>
      <c r="L32" s="11"/>
      <c r="M32" s="11"/>
      <c r="N32" s="11"/>
      <c r="O32" s="11"/>
      <c r="P32" s="11"/>
      <c r="Q32" s="11"/>
      <c r="R32" s="11"/>
      <c r="S32" s="11"/>
      <c r="T32" s="11"/>
      <c r="U32" s="11"/>
      <c r="V32" s="11"/>
    </row>
    <row r="33" ht="15.75" customHeight="1">
      <c r="A33" s="11"/>
      <c r="B33" s="11"/>
      <c r="C33" s="11"/>
      <c r="D33" s="11"/>
      <c r="E33" s="11"/>
      <c r="F33" s="11"/>
      <c r="G33" s="11"/>
      <c r="H33" s="11"/>
      <c r="I33" s="11"/>
      <c r="J33" s="11"/>
      <c r="K33" s="11"/>
      <c r="L33" s="11"/>
      <c r="M33" s="11"/>
      <c r="N33" s="11"/>
      <c r="O33" s="11"/>
      <c r="P33" s="11"/>
      <c r="Q33" s="11"/>
      <c r="R33" s="11"/>
      <c r="S33" s="11"/>
      <c r="T33" s="11"/>
      <c r="U33" s="11"/>
      <c r="V33" s="11"/>
    </row>
    <row r="34" ht="15.75" customHeight="1">
      <c r="A34" s="11"/>
      <c r="B34" s="11"/>
      <c r="C34" s="11"/>
      <c r="D34" s="11"/>
      <c r="E34" s="11"/>
      <c r="F34" s="11"/>
      <c r="G34" s="11"/>
      <c r="H34" s="11"/>
      <c r="I34" s="11"/>
      <c r="J34" s="11"/>
      <c r="K34" s="11"/>
      <c r="L34" s="11"/>
      <c r="M34" s="11"/>
      <c r="N34" s="11"/>
      <c r="O34" s="11"/>
      <c r="P34" s="11"/>
      <c r="Q34" s="11"/>
      <c r="R34" s="11"/>
      <c r="S34" s="11"/>
      <c r="T34" s="11"/>
      <c r="U34" s="11"/>
      <c r="V34" s="11"/>
    </row>
    <row r="35" ht="15.75" customHeight="1">
      <c r="A35" s="11"/>
      <c r="B35" s="11"/>
      <c r="C35" s="11"/>
      <c r="D35" s="11"/>
      <c r="E35" s="11"/>
      <c r="F35" s="11"/>
      <c r="G35" s="11"/>
      <c r="H35" s="11"/>
      <c r="I35" s="11"/>
      <c r="J35" s="11"/>
      <c r="K35" s="11"/>
      <c r="L35" s="11"/>
      <c r="M35" s="11"/>
      <c r="N35" s="11"/>
      <c r="O35" s="11"/>
      <c r="P35" s="11"/>
      <c r="Q35" s="11"/>
      <c r="R35" s="11"/>
      <c r="S35" s="11"/>
      <c r="T35" s="11"/>
      <c r="U35" s="11"/>
      <c r="V35" s="11"/>
    </row>
    <row r="36" ht="15.75" customHeight="1">
      <c r="A36" s="11"/>
      <c r="B36" s="11"/>
      <c r="C36" s="11"/>
      <c r="D36" s="11"/>
      <c r="E36" s="11"/>
      <c r="F36" s="11"/>
      <c r="G36" s="11"/>
      <c r="H36" s="11"/>
      <c r="I36" s="11"/>
      <c r="J36" s="11"/>
      <c r="K36" s="11"/>
      <c r="L36" s="11"/>
      <c r="M36" s="11"/>
      <c r="N36" s="11"/>
      <c r="O36" s="11"/>
      <c r="P36" s="11"/>
      <c r="Q36" s="11"/>
      <c r="R36" s="11"/>
      <c r="S36" s="11"/>
      <c r="T36" s="11"/>
      <c r="U36" s="11"/>
      <c r="V36" s="11"/>
    </row>
    <row r="37" ht="15.75" customHeight="1">
      <c r="A37" s="11"/>
      <c r="B37" s="11"/>
      <c r="C37" s="11"/>
      <c r="D37" s="11"/>
      <c r="E37" s="11"/>
      <c r="F37" s="11"/>
      <c r="G37" s="11"/>
      <c r="H37" s="11"/>
      <c r="I37" s="11"/>
      <c r="J37" s="11"/>
      <c r="K37" s="11"/>
      <c r="L37" s="11"/>
      <c r="M37" s="11"/>
      <c r="N37" s="11"/>
      <c r="O37" s="11"/>
      <c r="P37" s="11"/>
      <c r="Q37" s="11"/>
      <c r="R37" s="11"/>
      <c r="S37" s="11"/>
      <c r="T37" s="11"/>
      <c r="U37" s="11"/>
      <c r="V37" s="11"/>
    </row>
    <row r="38" ht="15.75" customHeight="1">
      <c r="A38" s="11"/>
      <c r="B38" s="11"/>
      <c r="C38" s="11"/>
      <c r="D38" s="11"/>
      <c r="E38" s="11"/>
      <c r="F38" s="11"/>
      <c r="G38" s="11"/>
      <c r="H38" s="11"/>
      <c r="I38" s="11"/>
      <c r="J38" s="11"/>
      <c r="K38" s="11"/>
      <c r="L38" s="11"/>
      <c r="M38" s="11"/>
      <c r="N38" s="11"/>
      <c r="O38" s="11"/>
      <c r="P38" s="11"/>
      <c r="Q38" s="11"/>
      <c r="R38" s="11"/>
      <c r="S38" s="11"/>
      <c r="T38" s="11"/>
      <c r="U38" s="11"/>
      <c r="V38" s="11"/>
    </row>
    <row r="39" ht="15.75" customHeight="1">
      <c r="A39" s="11"/>
      <c r="B39" s="11"/>
      <c r="C39" s="11"/>
      <c r="D39" s="11"/>
      <c r="E39" s="11"/>
      <c r="F39" s="11"/>
      <c r="G39" s="11"/>
      <c r="H39" s="11"/>
      <c r="I39" s="11"/>
      <c r="J39" s="11"/>
      <c r="K39" s="11"/>
      <c r="L39" s="11"/>
      <c r="M39" s="11"/>
      <c r="N39" s="11"/>
      <c r="O39" s="11"/>
      <c r="P39" s="11"/>
      <c r="Q39" s="11"/>
      <c r="R39" s="11"/>
      <c r="S39" s="11"/>
      <c r="T39" s="11"/>
      <c r="U39" s="11"/>
      <c r="V39" s="11"/>
    </row>
    <row r="40" ht="15.75" customHeight="1">
      <c r="A40" s="11"/>
      <c r="B40" s="11"/>
      <c r="C40" s="11"/>
      <c r="D40" s="11"/>
      <c r="E40" s="11"/>
      <c r="F40" s="11"/>
      <c r="G40" s="11"/>
      <c r="H40" s="11"/>
      <c r="I40" s="11"/>
      <c r="J40" s="11"/>
      <c r="K40" s="11"/>
      <c r="L40" s="11"/>
      <c r="M40" s="11"/>
      <c r="N40" s="11"/>
      <c r="O40" s="11"/>
      <c r="P40" s="11"/>
      <c r="Q40" s="11"/>
      <c r="R40" s="11"/>
      <c r="S40" s="11"/>
      <c r="T40" s="11"/>
      <c r="U40" s="11"/>
      <c r="V40" s="11"/>
    </row>
    <row r="41" ht="15.75" customHeight="1">
      <c r="A41" s="11"/>
      <c r="B41" s="11"/>
      <c r="C41" s="11"/>
      <c r="D41" s="11"/>
      <c r="E41" s="11"/>
      <c r="F41" s="11"/>
      <c r="G41" s="11"/>
      <c r="H41" s="11"/>
      <c r="I41" s="11"/>
      <c r="J41" s="11"/>
      <c r="K41" s="11"/>
      <c r="L41" s="11"/>
      <c r="M41" s="11"/>
      <c r="N41" s="11"/>
      <c r="O41" s="11"/>
      <c r="P41" s="11"/>
      <c r="Q41" s="11"/>
      <c r="R41" s="11"/>
      <c r="S41" s="11"/>
      <c r="T41" s="11"/>
      <c r="U41" s="11"/>
      <c r="V41" s="11"/>
    </row>
    <row r="42" ht="15.75" customHeight="1">
      <c r="A42" s="11"/>
      <c r="B42" s="11"/>
      <c r="C42" s="11"/>
      <c r="D42" s="11"/>
      <c r="E42" s="11"/>
      <c r="F42" s="11"/>
      <c r="G42" s="11"/>
      <c r="H42" s="11"/>
      <c r="I42" s="11"/>
      <c r="J42" s="11"/>
      <c r="K42" s="11"/>
      <c r="L42" s="11"/>
      <c r="M42" s="11"/>
      <c r="N42" s="11"/>
      <c r="O42" s="11"/>
      <c r="P42" s="11"/>
      <c r="Q42" s="11"/>
      <c r="R42" s="11"/>
      <c r="S42" s="11"/>
      <c r="T42" s="11"/>
      <c r="U42" s="11"/>
      <c r="V42" s="11"/>
    </row>
    <row r="43" ht="15.75" customHeight="1">
      <c r="A43" s="11"/>
      <c r="B43" s="11"/>
      <c r="C43" s="11"/>
      <c r="D43" s="11"/>
      <c r="E43" s="11"/>
      <c r="F43" s="11"/>
      <c r="G43" s="11"/>
      <c r="H43" s="11"/>
      <c r="I43" s="11"/>
      <c r="J43" s="11"/>
      <c r="K43" s="11"/>
      <c r="L43" s="11"/>
      <c r="M43" s="11"/>
      <c r="N43" s="11"/>
      <c r="O43" s="11"/>
      <c r="P43" s="11"/>
      <c r="Q43" s="11"/>
      <c r="R43" s="11"/>
      <c r="S43" s="11"/>
      <c r="T43" s="11"/>
      <c r="U43" s="11"/>
      <c r="V43" s="11"/>
    </row>
    <row r="44" ht="15.75" customHeight="1">
      <c r="A44" s="11"/>
      <c r="B44" s="11"/>
      <c r="C44" s="11"/>
      <c r="D44" s="11"/>
      <c r="E44" s="11"/>
      <c r="F44" s="11"/>
      <c r="G44" s="11"/>
      <c r="H44" s="11"/>
      <c r="I44" s="11"/>
      <c r="J44" s="11"/>
      <c r="K44" s="11"/>
      <c r="L44" s="11"/>
      <c r="M44" s="11"/>
      <c r="N44" s="11"/>
      <c r="O44" s="11"/>
      <c r="P44" s="11"/>
      <c r="Q44" s="11"/>
      <c r="R44" s="11"/>
      <c r="S44" s="11"/>
      <c r="T44" s="11"/>
      <c r="U44" s="11"/>
      <c r="V44" s="11"/>
    </row>
    <row r="45" ht="15.75" customHeight="1">
      <c r="A45" s="11"/>
      <c r="B45" s="11"/>
      <c r="C45" s="11"/>
      <c r="D45" s="11"/>
      <c r="E45" s="11"/>
      <c r="F45" s="11"/>
      <c r="G45" s="11"/>
      <c r="H45" s="11"/>
      <c r="I45" s="11"/>
      <c r="J45" s="11"/>
      <c r="K45" s="11"/>
      <c r="L45" s="11"/>
      <c r="M45" s="11"/>
      <c r="N45" s="11"/>
      <c r="O45" s="11"/>
      <c r="P45" s="11"/>
      <c r="Q45" s="11"/>
      <c r="R45" s="11"/>
      <c r="S45" s="11"/>
      <c r="T45" s="11"/>
      <c r="U45" s="11"/>
      <c r="V45" s="11"/>
    </row>
    <row r="46" ht="15.75" customHeight="1">
      <c r="A46" s="11"/>
      <c r="B46" s="11"/>
      <c r="C46" s="11"/>
      <c r="D46" s="11"/>
      <c r="E46" s="11"/>
      <c r="F46" s="11"/>
      <c r="G46" s="11"/>
      <c r="H46" s="11"/>
      <c r="I46" s="11"/>
      <c r="J46" s="11"/>
      <c r="K46" s="11"/>
      <c r="L46" s="11"/>
      <c r="M46" s="11"/>
      <c r="N46" s="11"/>
      <c r="O46" s="11"/>
      <c r="P46" s="11"/>
      <c r="Q46" s="11"/>
      <c r="R46" s="11"/>
      <c r="S46" s="11"/>
      <c r="T46" s="11"/>
      <c r="U46" s="11"/>
      <c r="V46" s="11"/>
    </row>
    <row r="47" ht="15.75" customHeight="1">
      <c r="A47" s="11"/>
      <c r="B47" s="11"/>
      <c r="C47" s="11"/>
      <c r="D47" s="11"/>
      <c r="E47" s="11"/>
      <c r="F47" s="11"/>
      <c r="G47" s="11"/>
      <c r="H47" s="11"/>
      <c r="I47" s="11"/>
      <c r="J47" s="11"/>
      <c r="K47" s="11"/>
      <c r="L47" s="11"/>
      <c r="M47" s="11"/>
      <c r="N47" s="11"/>
      <c r="O47" s="11"/>
      <c r="P47" s="11"/>
      <c r="Q47" s="11"/>
      <c r="R47" s="11"/>
      <c r="S47" s="11"/>
      <c r="T47" s="11"/>
      <c r="U47" s="11"/>
      <c r="V47" s="11"/>
    </row>
    <row r="48" ht="15.75" customHeight="1">
      <c r="A48" s="11"/>
      <c r="B48" s="11"/>
      <c r="C48" s="11"/>
      <c r="D48" s="11"/>
      <c r="E48" s="11"/>
      <c r="F48" s="11"/>
      <c r="G48" s="11"/>
      <c r="H48" s="11"/>
      <c r="I48" s="11"/>
      <c r="J48" s="11"/>
      <c r="K48" s="11"/>
      <c r="L48" s="11"/>
      <c r="M48" s="11"/>
      <c r="N48" s="11"/>
      <c r="O48" s="11"/>
      <c r="P48" s="11"/>
      <c r="Q48" s="11"/>
      <c r="R48" s="11"/>
      <c r="S48" s="11"/>
      <c r="T48" s="11"/>
      <c r="U48" s="11"/>
      <c r="V48" s="11"/>
    </row>
    <row r="49" ht="15.75" customHeight="1">
      <c r="A49" s="11"/>
      <c r="B49" s="11"/>
      <c r="C49" s="11"/>
      <c r="D49" s="11"/>
      <c r="E49" s="11"/>
      <c r="F49" s="11"/>
      <c r="G49" s="11"/>
      <c r="H49" s="11"/>
      <c r="I49" s="11"/>
      <c r="J49" s="11"/>
      <c r="K49" s="11"/>
      <c r="L49" s="11"/>
      <c r="M49" s="11"/>
      <c r="N49" s="11"/>
      <c r="O49" s="11"/>
      <c r="P49" s="11"/>
      <c r="Q49" s="11"/>
      <c r="R49" s="11"/>
      <c r="S49" s="11"/>
      <c r="T49" s="11"/>
      <c r="U49" s="11"/>
      <c r="V49" s="11"/>
    </row>
    <row r="50" ht="15.75" customHeight="1">
      <c r="A50" s="11"/>
      <c r="B50" s="11"/>
      <c r="C50" s="11"/>
      <c r="D50" s="11"/>
      <c r="E50" s="11"/>
      <c r="F50" s="11"/>
      <c r="G50" s="11"/>
      <c r="H50" s="11"/>
      <c r="I50" s="11"/>
      <c r="J50" s="11"/>
      <c r="K50" s="11"/>
      <c r="L50" s="11"/>
      <c r="M50" s="11"/>
      <c r="N50" s="11"/>
      <c r="O50" s="11"/>
      <c r="P50" s="11"/>
      <c r="Q50" s="11"/>
      <c r="R50" s="11"/>
      <c r="S50" s="11"/>
      <c r="T50" s="11"/>
      <c r="U50" s="11"/>
      <c r="V50" s="11"/>
    </row>
    <row r="51" ht="15.75" customHeight="1">
      <c r="A51" s="11"/>
      <c r="B51" s="11"/>
      <c r="C51" s="11"/>
      <c r="D51" s="11"/>
      <c r="E51" s="11"/>
      <c r="F51" s="11"/>
      <c r="G51" s="11"/>
      <c r="H51" s="11"/>
      <c r="I51" s="11"/>
      <c r="J51" s="11"/>
      <c r="K51" s="11"/>
      <c r="L51" s="11"/>
      <c r="M51" s="11"/>
      <c r="N51" s="11"/>
      <c r="O51" s="11"/>
      <c r="P51" s="11"/>
      <c r="Q51" s="11"/>
      <c r="R51" s="11"/>
      <c r="S51" s="11"/>
      <c r="T51" s="11"/>
      <c r="U51" s="11"/>
      <c r="V51" s="11"/>
    </row>
    <row r="52" ht="15.75" customHeight="1">
      <c r="A52" s="11"/>
      <c r="B52" s="11"/>
      <c r="C52" s="11"/>
      <c r="D52" s="11"/>
      <c r="E52" s="11"/>
      <c r="F52" s="11"/>
      <c r="G52" s="11"/>
      <c r="H52" s="11"/>
      <c r="I52" s="11"/>
      <c r="J52" s="11"/>
      <c r="K52" s="11"/>
      <c r="L52" s="11"/>
      <c r="M52" s="11"/>
      <c r="N52" s="11"/>
      <c r="O52" s="11"/>
      <c r="P52" s="11"/>
      <c r="Q52" s="11"/>
      <c r="R52" s="11"/>
      <c r="S52" s="11"/>
      <c r="T52" s="11"/>
      <c r="U52" s="11"/>
      <c r="V52" s="11"/>
    </row>
    <row r="53" ht="15.75" customHeight="1">
      <c r="A53" s="11"/>
      <c r="B53" s="11"/>
      <c r="C53" s="11"/>
      <c r="D53" s="11"/>
      <c r="E53" s="11"/>
      <c r="F53" s="11"/>
      <c r="G53" s="11"/>
      <c r="H53" s="11"/>
      <c r="I53" s="11"/>
      <c r="J53" s="11"/>
      <c r="K53" s="11"/>
      <c r="L53" s="11"/>
      <c r="M53" s="11"/>
      <c r="N53" s="11"/>
      <c r="O53" s="11"/>
      <c r="P53" s="11"/>
      <c r="Q53" s="11"/>
      <c r="R53" s="11"/>
      <c r="S53" s="11"/>
      <c r="T53" s="11"/>
      <c r="U53" s="11"/>
      <c r="V53" s="11"/>
    </row>
    <row r="54" ht="15.75" customHeight="1">
      <c r="A54" s="11"/>
      <c r="B54" s="11"/>
      <c r="C54" s="11"/>
      <c r="D54" s="11"/>
      <c r="E54" s="11"/>
      <c r="F54" s="11"/>
      <c r="G54" s="11"/>
      <c r="H54" s="11"/>
      <c r="I54" s="11"/>
      <c r="J54" s="11"/>
      <c r="K54" s="11"/>
      <c r="L54" s="11"/>
      <c r="M54" s="11"/>
      <c r="N54" s="11"/>
      <c r="O54" s="11"/>
      <c r="P54" s="11"/>
      <c r="Q54" s="11"/>
      <c r="R54" s="11"/>
      <c r="S54" s="11"/>
      <c r="T54" s="11"/>
      <c r="U54" s="11"/>
      <c r="V54" s="11"/>
    </row>
    <row r="55" ht="15.75" customHeight="1">
      <c r="A55" s="11"/>
      <c r="B55" s="11"/>
      <c r="C55" s="11"/>
      <c r="D55" s="11"/>
      <c r="E55" s="11"/>
      <c r="F55" s="11"/>
      <c r="G55" s="11"/>
      <c r="H55" s="11"/>
      <c r="I55" s="11"/>
      <c r="J55" s="11"/>
      <c r="K55" s="11"/>
      <c r="L55" s="11"/>
      <c r="M55" s="11"/>
      <c r="N55" s="11"/>
      <c r="O55" s="11"/>
      <c r="P55" s="11"/>
      <c r="Q55" s="11"/>
      <c r="R55" s="11"/>
      <c r="S55" s="11"/>
      <c r="T55" s="11"/>
      <c r="U55" s="11"/>
      <c r="V55" s="11"/>
    </row>
    <row r="56" ht="15.75" customHeight="1">
      <c r="A56" s="11"/>
      <c r="B56" s="11"/>
      <c r="C56" s="11"/>
      <c r="D56" s="11"/>
      <c r="E56" s="11"/>
      <c r="F56" s="11"/>
      <c r="G56" s="11"/>
      <c r="H56" s="11"/>
      <c r="I56" s="11"/>
      <c r="J56" s="11"/>
      <c r="K56" s="11"/>
      <c r="L56" s="11"/>
      <c r="M56" s="11"/>
      <c r="N56" s="11"/>
      <c r="O56" s="11"/>
      <c r="P56" s="11"/>
      <c r="Q56" s="11"/>
      <c r="R56" s="11"/>
      <c r="S56" s="11"/>
      <c r="T56" s="11"/>
      <c r="U56" s="11"/>
      <c r="V56" s="11"/>
    </row>
    <row r="57" ht="15.75" customHeight="1">
      <c r="A57" s="11"/>
      <c r="B57" s="11"/>
      <c r="C57" s="11"/>
      <c r="D57" s="11"/>
      <c r="E57" s="11"/>
      <c r="F57" s="11"/>
      <c r="G57" s="11"/>
      <c r="H57" s="11"/>
      <c r="I57" s="11"/>
      <c r="J57" s="11"/>
      <c r="K57" s="11"/>
      <c r="L57" s="11"/>
      <c r="M57" s="11"/>
      <c r="N57" s="11"/>
      <c r="O57" s="11"/>
      <c r="P57" s="11"/>
      <c r="Q57" s="11"/>
      <c r="R57" s="11"/>
      <c r="S57" s="11"/>
      <c r="T57" s="11"/>
      <c r="U57" s="11"/>
      <c r="V57" s="11"/>
    </row>
    <row r="58" ht="15.75" customHeight="1">
      <c r="A58" s="11"/>
      <c r="B58" s="11"/>
      <c r="C58" s="11"/>
      <c r="D58" s="11"/>
      <c r="E58" s="11"/>
      <c r="F58" s="11"/>
      <c r="G58" s="11"/>
      <c r="H58" s="11"/>
      <c r="I58" s="11"/>
      <c r="J58" s="11"/>
      <c r="K58" s="11"/>
      <c r="L58" s="11"/>
      <c r="M58" s="11"/>
      <c r="N58" s="11"/>
      <c r="O58" s="11"/>
      <c r="P58" s="11"/>
      <c r="Q58" s="11"/>
      <c r="R58" s="11"/>
      <c r="S58" s="11"/>
      <c r="T58" s="11"/>
      <c r="U58" s="11"/>
      <c r="V58" s="11"/>
    </row>
    <row r="59" ht="15.75" customHeight="1">
      <c r="A59" s="11"/>
      <c r="B59" s="11"/>
      <c r="C59" s="11"/>
      <c r="D59" s="11"/>
      <c r="E59" s="11"/>
      <c r="F59" s="11"/>
      <c r="G59" s="11"/>
      <c r="H59" s="11"/>
      <c r="I59" s="11"/>
      <c r="J59" s="11"/>
      <c r="K59" s="11"/>
      <c r="L59" s="11"/>
      <c r="M59" s="11"/>
      <c r="N59" s="11"/>
      <c r="O59" s="11"/>
      <c r="P59" s="11"/>
      <c r="Q59" s="11"/>
      <c r="R59" s="11"/>
      <c r="S59" s="11"/>
      <c r="T59" s="11"/>
      <c r="U59" s="11"/>
      <c r="V59" s="11"/>
    </row>
    <row r="60" ht="15.75" customHeight="1">
      <c r="A60" s="11"/>
      <c r="B60" s="11"/>
      <c r="C60" s="11"/>
      <c r="D60" s="11"/>
      <c r="E60" s="11"/>
      <c r="F60" s="11"/>
      <c r="G60" s="11"/>
      <c r="H60" s="11"/>
      <c r="I60" s="11"/>
      <c r="J60" s="11"/>
      <c r="K60" s="11"/>
      <c r="L60" s="11"/>
      <c r="M60" s="11"/>
      <c r="N60" s="11"/>
      <c r="O60" s="11"/>
      <c r="P60" s="11"/>
      <c r="Q60" s="11"/>
      <c r="R60" s="11"/>
      <c r="S60" s="11"/>
      <c r="T60" s="11"/>
      <c r="U60" s="11"/>
      <c r="V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row>
  </sheetData>
  <mergeCells>
    <mergeCell ref="A5:V5"/>
    <mergeCell ref="A1:T3"/>
    <mergeCell ref="U1:V3"/>
    <mergeCell ref="A4:H4"/>
    <mergeCell ref="I4:O4"/>
    <mergeCell ref="P4:V4"/>
    <mergeCell ref="C19:U22"/>
  </mergeCells>
  <pageMargins left="0.7" right="0.7" top="0.75" bottom="0.75" header="0.3" footer="0.3"/>
  <drawing r:id="Rc67fe8a41eb5401c"/>
</worksheet>
</file>

<file path=xl/worksheets/sheet4.xml><?xml version="1.0" encoding="utf-8"?>
<worksheet xmlns="http://schemas.openxmlformats.org/spreadsheetml/2006/main" xmlns:r="http://schemas.openxmlformats.org/officeDocument/2006/relationships">
  <sheetViews>
    <sheetView showGridLines="0" workbookViewId="0"/>
  </sheetViews>
  <sheetFormatPr baseColWidth="10" defaultColWidth="10.83203125" defaultRowHeight="16"/>
  <cols>
    <col min="1" max="1" width="10.83203125" style="11" customWidth="0"/>
    <col min="2" max="2" width="1.83203125" style="11" customWidth="1"/>
    <col min="3" max="6" width="10.83203125" style="11" customWidth="0"/>
    <col min="7" max="7" width="12" style="11" customWidth="1"/>
    <col min="8" max="16384" width="10.83203125" style="11" customWidth="0"/>
  </cols>
  <sheetData>
    <row r="1" ht="15.75" customHeight="1">
      <c r="A1" s="318" t="s">
        <v>58</v>
      </c>
      <c r="B1" s="318"/>
      <c r="C1" s="318"/>
      <c r="D1" s="318"/>
      <c r="E1" s="318"/>
      <c r="F1" s="318"/>
      <c r="G1" s="318"/>
      <c r="H1" s="318"/>
      <c r="I1" s="318"/>
      <c r="J1" s="318"/>
      <c r="K1" s="318"/>
      <c r="L1" s="318"/>
      <c r="M1" s="318"/>
      <c r="N1" s="318"/>
      <c r="O1" s="318"/>
      <c r="P1" s="318"/>
      <c r="Q1" s="318"/>
      <c r="R1" s="318"/>
      <c r="S1" s="318"/>
      <c r="T1" s="318"/>
      <c r="U1" s="318"/>
      <c r="V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row>
    <row r="4" ht="4.5" customHeight="1">
      <c r="A4" s="308"/>
      <c r="B4" s="308"/>
      <c r="C4" s="308"/>
      <c r="D4" s="308"/>
      <c r="E4" s="308"/>
      <c r="F4" s="308"/>
      <c r="G4" s="308"/>
      <c r="H4" s="308"/>
      <c r="I4" s="294"/>
      <c r="J4" s="294"/>
      <c r="K4" s="294"/>
      <c r="L4" s="294"/>
      <c r="M4" s="294"/>
      <c r="N4" s="294"/>
      <c r="O4" s="294"/>
      <c r="P4" s="309"/>
      <c r="Q4" s="309"/>
      <c r="R4" s="309"/>
      <c r="S4" s="309"/>
      <c r="T4" s="309"/>
      <c r="U4" s="309"/>
      <c r="V4" s="309"/>
    </row>
    <row r="5" ht="1.5" customHeight="1">
      <c r="A5" s="312"/>
      <c r="B5" s="312"/>
      <c r="C5" s="312"/>
      <c r="D5" s="312"/>
      <c r="E5" s="312"/>
      <c r="F5" s="312"/>
      <c r="G5" s="312"/>
      <c r="H5" s="312"/>
      <c r="I5" s="312"/>
      <c r="J5" s="312"/>
      <c r="K5" s="312"/>
      <c r="L5" s="312"/>
      <c r="M5" s="312"/>
      <c r="N5" s="312"/>
      <c r="O5" s="312"/>
      <c r="P5" s="312"/>
      <c r="Q5" s="312"/>
      <c r="R5" s="312"/>
      <c r="S5" s="312"/>
      <c r="T5" s="312"/>
      <c r="U5" s="312"/>
      <c r="V5" s="312"/>
    </row>
    <row r="6" ht="15" customHeight="1">
      <c r="U6" s="11" t="s">
        <v>49</v>
      </c>
    </row>
    <row r="8" ht="15.75" customHeight="1">
      <c r="B8" s="294"/>
      <c r="C8" s="294"/>
      <c r="D8" s="294"/>
      <c r="E8" s="294"/>
      <c r="F8" s="294"/>
      <c r="G8" s="284" t="s">
        <v>44</v>
      </c>
      <c r="H8" s="284" t="s">
        <v>45</v>
      </c>
      <c r="I8" s="284" t="s">
        <v>46</v>
      </c>
      <c r="J8" s="284" t="s">
        <v>47</v>
      </c>
      <c r="K8" s="284" t="s">
        <v>48</v>
      </c>
    </row>
    <row r="9" ht="15.75" customHeight="1">
      <c r="B9" s="317" t="s">
        <v>59</v>
      </c>
      <c r="C9" s="317"/>
      <c r="D9" s="317"/>
      <c r="E9" s="317"/>
      <c r="F9" s="317"/>
      <c r="G9" s="22">
        <v>4270894</v>
      </c>
      <c r="H9" s="22">
        <v>5095254</v>
      </c>
      <c r="I9" s="22">
        <v>5970146</v>
      </c>
      <c r="J9" s="22">
        <v>6676668</v>
      </c>
      <c r="K9" s="23">
        <v>7145768</v>
      </c>
    </row>
    <row r="10" ht="15.75" customHeight="1">
      <c r="C10" s="315" t="s">
        <v>60</v>
      </c>
      <c r="D10" s="315"/>
      <c r="E10" s="315"/>
      <c r="F10" s="315"/>
      <c r="G10" s="25">
        <v>2080613</v>
      </c>
      <c r="H10" s="25">
        <v>2648953</v>
      </c>
      <c r="I10" s="25">
        <v>2995877</v>
      </c>
      <c r="J10" s="25">
        <v>3329483</v>
      </c>
      <c r="K10" s="25">
        <v>3452971</v>
      </c>
    </row>
    <row r="11" ht="15.75" customHeight="1">
      <c r="C11" s="315" t="s">
        <v>61</v>
      </c>
      <c r="D11" s="315"/>
      <c r="E11" s="315"/>
      <c r="F11" s="315"/>
      <c r="G11" s="25">
        <v>348024</v>
      </c>
      <c r="H11" s="25">
        <v>427974</v>
      </c>
      <c r="I11" s="25">
        <v>462580</v>
      </c>
      <c r="J11" s="25">
        <v>561144</v>
      </c>
      <c r="K11" s="25">
        <v>642490</v>
      </c>
    </row>
    <row r="12" ht="15.75" customHeight="1">
      <c r="C12" s="315" t="s">
        <v>62</v>
      </c>
      <c r="D12" s="315"/>
      <c r="E12" s="315"/>
      <c r="F12" s="315"/>
      <c r="G12" s="25">
        <v>768104</v>
      </c>
      <c r="H12" s="25">
        <v>775572</v>
      </c>
      <c r="I12" s="26">
        <v>881559</v>
      </c>
      <c r="J12" s="25">
        <v>894092</v>
      </c>
      <c r="K12" s="25">
        <v>918861</v>
      </c>
    </row>
    <row r="13" ht="15.75" customHeight="1">
      <c r="C13" s="315" t="s">
        <v>63</v>
      </c>
      <c r="D13" s="315"/>
      <c r="E13" s="315"/>
      <c r="F13" s="315"/>
      <c r="G13" s="27">
        <v>5561</v>
      </c>
      <c r="H13" s="27">
        <v>21548</v>
      </c>
      <c r="I13" s="27">
        <v>18898</v>
      </c>
      <c r="J13" s="27">
        <v>12443</v>
      </c>
      <c r="K13" s="27">
        <v>34302</v>
      </c>
    </row>
    <row r="14" ht="15.75" customHeight="1">
      <c r="C14" s="24" t="s">
        <v>64</v>
      </c>
      <c r="D14" s="24"/>
      <c r="E14" s="24"/>
      <c r="F14" s="24"/>
      <c r="G14" s="27">
        <v>6896</v>
      </c>
      <c r="H14" s="27">
        <v>6175</v>
      </c>
      <c r="I14" s="27">
        <v>6137</v>
      </c>
      <c r="J14" s="27">
        <v>8245</v>
      </c>
      <c r="K14" s="27">
        <v>12572</v>
      </c>
    </row>
    <row r="15" ht="15.75" customHeight="1">
      <c r="B15" s="316" t="s">
        <v>65</v>
      </c>
      <c r="C15" s="316"/>
      <c r="D15" s="316"/>
      <c r="E15" s="316"/>
      <c r="F15" s="316"/>
      <c r="G15" s="29" t="n">
        <f>G9-G10-G11-G12-G13+G14</f>
        <v>1075488</v>
      </c>
      <c r="H15" s="29" t="n">
        <f>H9-H10-H11-H12-H13+H14</f>
        <v>1227382</v>
      </c>
      <c r="I15" s="29" t="n">
        <f>I9-I10-I11-I12-I13+I14</f>
        <v>1617369</v>
      </c>
      <c r="J15" s="29" t="n">
        <f>J9-J10-J11-J12-J13+J14</f>
        <v>1887751</v>
      </c>
      <c r="K15" s="29" t="n">
        <f>K9-K10-K11-K12-K13+K14</f>
        <v>2109716</v>
      </c>
    </row>
    <row r="16" ht="15.75" customHeight="1">
      <c r="B16" s="28"/>
      <c r="C16" s="30" t="s">
        <v>66</v>
      </c>
      <c r="D16" s="28"/>
      <c r="E16" s="28"/>
      <c r="F16" s="28"/>
      <c r="G16" s="27" t="n">
        <f>'Cash Flow Statement'!G14</f>
        <v>455989</v>
      </c>
      <c r="H16" s="27" t="n">
        <f>'Cash Flow Statement'!H14</f>
        <v>546225</v>
      </c>
      <c r="I16" s="27" t="n">
        <f>'Cash Flow Statement'!I14</f>
        <v>662305</v>
      </c>
      <c r="J16" s="27" t="n">
        <f>'Cash Flow Statement'!J14</f>
        <v>666777</v>
      </c>
      <c r="K16" s="27" t="n">
        <f>'Cash Flow Statement'!K14</f>
        <v>661937</v>
      </c>
    </row>
    <row r="17" ht="15.75" customHeight="1">
      <c r="B17" s="28" t="s">
        <v>67</v>
      </c>
      <c r="C17" s="30"/>
      <c r="D17" s="28"/>
      <c r="E17" s="28"/>
      <c r="F17" s="28"/>
      <c r="G17" s="31" t="n">
        <f>G15+G16</f>
        <v>1531477</v>
      </c>
      <c r="H17" s="31" t="n">
        <f>H15+H16</f>
        <v>1773607</v>
      </c>
      <c r="I17" s="31" t="n">
        <f>I15+I16</f>
        <v>2279674</v>
      </c>
      <c r="J17" s="31" t="n">
        <f>J15+J16</f>
        <v>2554528</v>
      </c>
      <c r="K17" s="31" t="n">
        <f>K15+K16</f>
        <v>2771653</v>
      </c>
    </row>
    <row r="18" ht="15.75" customHeight="1">
      <c r="C18" s="11" t="s">
        <v>68</v>
      </c>
      <c r="G18" s="27">
        <v>33257</v>
      </c>
      <c r="H18" s="27">
        <v>49616</v>
      </c>
      <c r="I18" s="27">
        <v>15015</v>
      </c>
      <c r="J18" s="27">
        <v>-1205</v>
      </c>
      <c r="K18" s="27">
        <v>46081</v>
      </c>
    </row>
    <row r="19" ht="15.75" customHeight="1">
      <c r="B19" s="12" t="s">
        <v>69</v>
      </c>
      <c r="G19" s="29" t="n">
        <f>G15-G18</f>
        <v>1042231</v>
      </c>
      <c r="H19" s="29" t="n">
        <f>H15-H18</f>
        <v>1177766</v>
      </c>
      <c r="I19" s="29" t="n">
        <f>I15-I18</f>
        <v>1602354</v>
      </c>
      <c r="J19" s="29" t="n">
        <f>J15-J18</f>
        <v>1888956</v>
      </c>
      <c r="K19" s="29" t="n">
        <f>K15-K18</f>
        <v>2063635</v>
      </c>
    </row>
    <row r="20" ht="15.75" customHeight="1">
      <c r="C20" s="11" t="s">
        <v>70</v>
      </c>
      <c r="G20" s="27">
        <v>209095</v>
      </c>
      <c r="H20" s="27">
        <v>238472</v>
      </c>
      <c r="I20" s="27">
        <v>344897</v>
      </c>
      <c r="J20" s="27">
        <v>363043</v>
      </c>
      <c r="K20" s="27">
        <v>464119</v>
      </c>
    </row>
    <row r="21" ht="15.75" customHeight="1">
      <c r="B21" s="12" t="s">
        <v>71</v>
      </c>
      <c r="G21" s="29" t="n">
        <f>G19-G20</f>
        <v>833136</v>
      </c>
      <c r="H21" s="29" t="n">
        <f>H19-H20</f>
        <v>939294</v>
      </c>
      <c r="I21" s="29" t="n">
        <f>I19-I20</f>
        <v>1257457</v>
      </c>
      <c r="J21" s="29" t="n">
        <f>J19-J20</f>
        <v>1525913</v>
      </c>
      <c r="K21" s="29" t="n">
        <f>K19-K20</f>
        <v>1599516</v>
      </c>
    </row>
    <row r="26" ht="15.75" customHeight="1">
      <c r="B26" s="317"/>
      <c r="C26" s="317"/>
      <c r="D26" s="317"/>
      <c r="E26" s="317"/>
      <c r="F26" s="317"/>
    </row>
    <row r="27" ht="15.75" customHeight="1">
      <c r="C27" s="315"/>
      <c r="D27" s="315"/>
      <c r="E27" s="315"/>
      <c r="F27" s="315"/>
      <c r="G27" s="17"/>
      <c r="H27" s="17"/>
      <c r="I27" s="17"/>
      <c r="J27" s="17"/>
      <c r="K27" s="17"/>
    </row>
    <row r="28" ht="15.75" customHeight="1">
      <c r="C28" s="315"/>
      <c r="D28" s="315"/>
      <c r="E28" s="315"/>
      <c r="F28" s="315"/>
      <c r="G28" s="17"/>
      <c r="H28" s="17"/>
      <c r="I28" s="17"/>
      <c r="J28" s="17"/>
      <c r="K28" s="17"/>
    </row>
    <row r="29" ht="15.75" customHeight="1">
      <c r="C29" s="315"/>
      <c r="D29" s="315"/>
      <c r="E29" s="315"/>
      <c r="F29" s="315"/>
      <c r="G29" s="17"/>
      <c r="H29" s="17"/>
      <c r="I29" s="17"/>
      <c r="J29" s="17"/>
      <c r="K29" s="17"/>
    </row>
    <row r="30" ht="15.75" customHeight="1">
      <c r="C30" s="315"/>
      <c r="D30" s="315"/>
      <c r="E30" s="315"/>
      <c r="F30" s="315"/>
      <c r="G30" s="17"/>
      <c r="H30" s="17"/>
      <c r="I30" s="17"/>
      <c r="J30" s="17"/>
      <c r="K30" s="17"/>
    </row>
    <row r="31" ht="15.75" customHeight="1">
      <c r="C31" s="24"/>
      <c r="D31" s="24"/>
      <c r="E31" s="24"/>
      <c r="F31" s="24"/>
      <c r="G31" s="17"/>
      <c r="H31" s="17"/>
      <c r="I31" s="17"/>
      <c r="J31" s="17"/>
      <c r="K31" s="17"/>
    </row>
    <row r="32" ht="15.75" customHeight="1">
      <c r="B32" s="316"/>
      <c r="C32" s="316"/>
      <c r="D32" s="316"/>
      <c r="E32" s="316"/>
      <c r="F32" s="316"/>
    </row>
    <row r="33" ht="15.75" customHeight="1">
      <c r="B33" s="28"/>
      <c r="C33" s="30"/>
      <c r="D33" s="28"/>
      <c r="E33" s="28"/>
      <c r="F33" s="28"/>
    </row>
    <row r="34" ht="15.75" customHeight="1">
      <c r="B34" s="28"/>
      <c r="C34" s="30"/>
      <c r="D34" s="28"/>
      <c r="E34" s="28"/>
      <c r="F34" s="28"/>
    </row>
    <row r="36" ht="15.75" customHeight="1">
      <c r="B36" s="12"/>
    </row>
    <row r="38" ht="15.75" customHeight="1">
      <c r="B38" s="12"/>
    </row>
  </sheetData>
  <mergeCells>
    <mergeCell ref="A1:V3"/>
    <mergeCell ref="A4:H4"/>
    <mergeCell ref="I4:O4"/>
    <mergeCell ref="P4:V4"/>
    <mergeCell ref="A5:V5"/>
    <mergeCell ref="B8:F8"/>
    <mergeCell ref="B9:F9"/>
    <mergeCell ref="C10:F10"/>
    <mergeCell ref="C11:F11"/>
    <mergeCell ref="C12:F12"/>
    <mergeCell ref="C29:F29"/>
    <mergeCell ref="C30:F30"/>
    <mergeCell ref="B32:F32"/>
    <mergeCell ref="C13:F13"/>
    <mergeCell ref="B15:F15"/>
    <mergeCell ref="B26:F26"/>
    <mergeCell ref="C27:F27"/>
    <mergeCell ref="C28:F28"/>
  </mergeCells>
  <pageMargins left="0.7" right="0.7" top="0.75" bottom="0.75" header="0.3" footer="0.3"/>
  <drawing r:id="R2d4f0eb77f0d4a75"/>
</worksheet>
</file>

<file path=xl/worksheets/sheet5.xml><?xml version="1.0" encoding="utf-8"?>
<worksheet xmlns="http://schemas.openxmlformats.org/spreadsheetml/2006/main" xmlns:r="http://schemas.openxmlformats.org/officeDocument/2006/relationships">
  <sheetFormatPr baseColWidth="10" defaultColWidth="10.5" defaultRowHeight="16"/>
  <cols>
    <col min="1" max="1" width="10.83203125" style="11" customWidth="1"/>
    <col min="2" max="2" width="1.6640625" style="11" customWidth="1"/>
    <col min="3" max="6" width="10.83203125" style="11" customWidth="1"/>
    <col min="7" max="8" width="12.5" style="11" customWidth="1"/>
    <col min="9" max="9" width="12.83203125" style="11" customWidth="1"/>
    <col min="10" max="10" width="12.1640625" style="11" customWidth="1"/>
    <col min="11" max="11" width="11.5" style="11" customWidth="1"/>
    <col min="12" max="20" width="10.83203125" style="11" customWidth="1"/>
    <col min="21" max="21" width="11.83203125" style="11" customWidth="1"/>
  </cols>
  <sheetData>
    <row r="1" ht="15.75" customHeight="1">
      <c r="A1" s="318" t="s">
        <v>72</v>
      </c>
      <c r="B1" s="318"/>
      <c r="C1" s="318"/>
      <c r="D1" s="318"/>
      <c r="E1" s="318"/>
      <c r="F1" s="318"/>
      <c r="G1" s="318"/>
      <c r="H1" s="318"/>
      <c r="I1" s="318"/>
      <c r="J1" s="318"/>
      <c r="K1" s="318"/>
      <c r="L1" s="318"/>
      <c r="M1" s="318"/>
      <c r="N1" s="318"/>
      <c r="O1" s="318"/>
      <c r="P1" s="318"/>
      <c r="Q1" s="318"/>
      <c r="R1" s="318"/>
      <c r="S1" s="318"/>
      <c r="T1" s="318"/>
      <c r="U1" s="318"/>
    </row>
    <row r="2" ht="15.75" customHeight="1">
      <c r="A2" s="318"/>
      <c r="B2" s="318"/>
      <c r="C2" s="318"/>
      <c r="D2" s="318"/>
      <c r="E2" s="318"/>
      <c r="F2" s="318"/>
      <c r="G2" s="318"/>
      <c r="H2" s="318"/>
      <c r="I2" s="318"/>
      <c r="J2" s="318"/>
      <c r="K2" s="318"/>
      <c r="L2" s="318"/>
      <c r="M2" s="318"/>
      <c r="N2" s="318"/>
      <c r="O2" s="318"/>
      <c r="P2" s="318"/>
      <c r="Q2" s="318"/>
      <c r="R2" s="318"/>
      <c r="S2" s="318"/>
      <c r="T2" s="318"/>
      <c r="U2" s="318"/>
    </row>
    <row r="3" ht="15.75" customHeight="1">
      <c r="A3" s="318"/>
      <c r="B3" s="318"/>
      <c r="C3" s="318"/>
      <c r="D3" s="318"/>
      <c r="E3" s="318"/>
      <c r="F3" s="318"/>
      <c r="G3" s="318"/>
      <c r="H3" s="318"/>
      <c r="I3" s="318"/>
      <c r="J3" s="318"/>
      <c r="K3" s="318"/>
      <c r="L3" s="318"/>
      <c r="M3" s="318"/>
      <c r="N3" s="318"/>
      <c r="O3" s="318"/>
      <c r="P3" s="318"/>
      <c r="Q3" s="318"/>
      <c r="R3" s="318"/>
      <c r="S3" s="318"/>
      <c r="T3" s="318"/>
      <c r="U3" s="318"/>
    </row>
    <row r="4" ht="4.5" customHeight="1">
      <c r="A4" s="308"/>
      <c r="B4" s="308"/>
      <c r="C4" s="308"/>
      <c r="D4" s="308"/>
      <c r="E4" s="308"/>
      <c r="F4" s="308"/>
      <c r="G4" s="308"/>
      <c r="H4" s="294"/>
      <c r="I4" s="294"/>
      <c r="J4" s="294"/>
      <c r="K4" s="294"/>
      <c r="L4" s="294"/>
      <c r="M4" s="294"/>
      <c r="N4" s="294"/>
      <c r="O4" s="309"/>
      <c r="P4" s="309"/>
      <c r="Q4" s="309"/>
      <c r="R4" s="309"/>
      <c r="S4" s="309"/>
      <c r="T4" s="309"/>
      <c r="U4" s="309"/>
    </row>
    <row r="5" ht="1.5" customHeight="1">
      <c r="A5" s="312"/>
      <c r="B5" s="312"/>
      <c r="C5" s="312"/>
      <c r="D5" s="312"/>
      <c r="E5" s="312"/>
      <c r="F5" s="312"/>
      <c r="G5" s="312"/>
      <c r="H5" s="312"/>
      <c r="I5" s="312"/>
      <c r="J5" s="312"/>
      <c r="K5" s="312"/>
      <c r="L5" s="312"/>
      <c r="M5" s="312"/>
      <c r="N5" s="312"/>
      <c r="O5" s="312"/>
      <c r="P5" s="312"/>
      <c r="Q5" s="312"/>
      <c r="R5" s="312"/>
      <c r="S5" s="312"/>
      <c r="T5" s="312"/>
      <c r="U5" s="312"/>
    </row>
    <row r="6" ht="15.75" customHeight="1">
      <c r="U6" s="11" t="s">
        <v>49</v>
      </c>
    </row>
    <row r="8" ht="15.75" customHeight="1">
      <c r="B8" s="294"/>
      <c r="C8" s="294"/>
      <c r="D8" s="294"/>
      <c r="E8" s="294"/>
      <c r="F8" s="294"/>
      <c r="G8" s="32" t="s">
        <v>44</v>
      </c>
      <c r="H8" s="32" t="s">
        <v>45</v>
      </c>
      <c r="I8" s="32" t="s">
        <v>46</v>
      </c>
      <c r="J8" s="32" t="s">
        <v>47</v>
      </c>
      <c r="K8" s="32" t="s">
        <v>48</v>
      </c>
    </row>
    <row r="9" ht="15.75" customHeight="1">
      <c r="B9" s="21" t="s">
        <v>73</v>
      </c>
      <c r="G9" s="25"/>
      <c r="H9" s="25"/>
      <c r="I9" s="25"/>
      <c r="J9" s="25"/>
      <c r="K9" s="33"/>
    </row>
    <row r="10" ht="15.75" customHeight="1">
      <c r="C10" s="34" t="s">
        <v>74</v>
      </c>
      <c r="G10" s="27">
        <v>785182</v>
      </c>
      <c r="H10" s="27">
        <v>785182</v>
      </c>
      <c r="I10" s="27">
        <v>785182</v>
      </c>
      <c r="J10" s="27">
        <v>785182</v>
      </c>
      <c r="K10" s="27">
        <v>785182</v>
      </c>
    </row>
    <row r="11" ht="15.75" customHeight="1">
      <c r="C11" s="34" t="s">
        <v>75</v>
      </c>
      <c r="G11" s="27">
        <v>1138173</v>
      </c>
      <c r="H11" s="27">
        <v>1307388</v>
      </c>
      <c r="I11" s="27">
        <v>1419699</v>
      </c>
      <c r="J11" s="27">
        <v>1545664</v>
      </c>
      <c r="K11" s="27">
        <v>1638457</v>
      </c>
    </row>
    <row r="12" ht="15.75" customHeight="1">
      <c r="C12" s="34" t="s">
        <v>76</v>
      </c>
      <c r="G12" s="27">
        <v>1353165</v>
      </c>
      <c r="H12" s="27">
        <v>1457825</v>
      </c>
      <c r="I12" s="26">
        <v>1575200</v>
      </c>
      <c r="J12" s="27">
        <v>1828784</v>
      </c>
      <c r="K12" s="27">
        <v>2057891</v>
      </c>
    </row>
    <row r="13" ht="15.75" customHeight="1">
      <c r="C13" s="34" t="s">
        <v>77</v>
      </c>
      <c r="G13" s="27">
        <v>54509</v>
      </c>
      <c r="H13" s="27">
        <v>59534</v>
      </c>
      <c r="I13" s="27">
        <v>67671</v>
      </c>
      <c r="J13" s="27">
        <v>80822</v>
      </c>
      <c r="K13" s="27">
        <v>96444</v>
      </c>
    </row>
    <row r="14" ht="15.75" customHeight="1">
      <c r="C14" s="34" t="s">
        <v>78</v>
      </c>
      <c r="D14" s="24"/>
      <c r="E14" s="24"/>
      <c r="F14" s="24"/>
      <c r="G14" s="27">
        <v>168757</v>
      </c>
      <c r="H14" s="27">
        <v>203382</v>
      </c>
      <c r="I14" s="27">
        <v>217553</v>
      </c>
      <c r="J14" s="27">
        <v>236791</v>
      </c>
      <c r="K14" s="27">
        <v>226005</v>
      </c>
    </row>
    <row r="15" ht="15.75" customHeight="1">
      <c r="B15" s="35" t="s">
        <v>79</v>
      </c>
      <c r="G15" s="29" t="n">
        <f>SUM(G10:G14)</f>
        <v>3499786</v>
      </c>
      <c r="H15" s="29" t="n">
        <f>SUM(H10:H14)</f>
        <v>3813311</v>
      </c>
      <c r="I15" s="29" t="n">
        <f>SUM(I10:I14)</f>
        <v>4065305</v>
      </c>
      <c r="J15" s="29" t="n">
        <f>SUM(J10:J14)</f>
        <v>4477243</v>
      </c>
      <c r="K15" s="29" t="n">
        <f>SUM(K10:K14)</f>
        <v>4803979</v>
      </c>
    </row>
    <row r="16" ht="15.75" customHeight="1">
      <c r="C16" s="19" t="s">
        <v>80</v>
      </c>
      <c r="G16" s="27">
        <v>540575</v>
      </c>
      <c r="H16" s="27">
        <v>674662</v>
      </c>
      <c r="I16" s="27">
        <v>948514</v>
      </c>
      <c r="J16" s="27">
        <v>1088194</v>
      </c>
      <c r="K16" s="27">
        <v>1113904</v>
      </c>
    </row>
    <row r="17" ht="15.75" customHeight="1">
      <c r="B17" s="12"/>
      <c r="C17" s="19" t="s">
        <v>81</v>
      </c>
      <c r="G17" s="27">
        <v>185000</v>
      </c>
      <c r="H17" s="27">
        <v>232414</v>
      </c>
      <c r="I17" s="27">
        <v>261380</v>
      </c>
      <c r="J17" s="27">
        <v>349176</v>
      </c>
      <c r="K17" s="27">
        <v>360339</v>
      </c>
    </row>
    <row r="18" ht="15.75" customHeight="1">
      <c r="C18" s="19" t="s">
        <v>82</v>
      </c>
      <c r="G18" s="27">
        <v>1143968</v>
      </c>
      <c r="H18" s="27">
        <v>1399997</v>
      </c>
      <c r="I18" s="27">
        <v>1451158</v>
      </c>
      <c r="J18" s="27">
        <v>1661632</v>
      </c>
      <c r="K18" s="27">
        <v>1613396</v>
      </c>
    </row>
    <row r="19" ht="15.75" customHeight="1">
      <c r="B19" s="12"/>
      <c r="C19" s="19" t="s">
        <v>83</v>
      </c>
      <c r="G19" s="27">
        <v>14306</v>
      </c>
      <c r="H19" s="27">
        <v>16054</v>
      </c>
      <c r="I19" s="27">
        <v>11616</v>
      </c>
      <c r="J19" s="27">
        <v>15918</v>
      </c>
      <c r="K19" s="27">
        <v>31715</v>
      </c>
    </row>
    <row r="20" ht="15.75" customHeight="1">
      <c r="C20" s="19" t="s">
        <v>84</v>
      </c>
      <c r="G20" s="27">
        <v>122224</v>
      </c>
      <c r="H20" s="27">
        <v>153183</v>
      </c>
      <c r="I20" s="27">
        <v>130228</v>
      </c>
      <c r="J20" s="27">
        <v>137763</v>
      </c>
      <c r="K20" s="27">
        <v>159223</v>
      </c>
    </row>
    <row r="21" ht="15.75" customHeight="1">
      <c r="C21" s="19" t="s">
        <v>85</v>
      </c>
      <c r="G21" s="27">
        <v>13500</v>
      </c>
      <c r="H21" s="27">
        <v>87301</v>
      </c>
      <c r="I21" s="27">
        <v>61130</v>
      </c>
      <c r="J21" s="27">
        <v>25006</v>
      </c>
      <c r="K21" s="27">
        <v>78085</v>
      </c>
    </row>
    <row r="22" ht="15.75" customHeight="1">
      <c r="C22" s="19" t="s">
        <v>86</v>
      </c>
      <c r="G22" s="27">
        <v>1344146</v>
      </c>
      <c r="H22" s="27">
        <v>1388901</v>
      </c>
      <c r="I22" s="27">
        <v>1121981</v>
      </c>
      <c r="J22" s="27">
        <v>1742214</v>
      </c>
      <c r="K22" s="27">
        <v>1467711</v>
      </c>
    </row>
    <row r="23" ht="15.75" customHeight="1">
      <c r="B23" s="36" t="s">
        <v>87</v>
      </c>
      <c r="G23" s="29" t="n">
        <f>SUM(G16:G22)</f>
        <v>3363719</v>
      </c>
      <c r="H23" s="29" t="n">
        <f>SUM(H16:H22)</f>
        <v>3952512</v>
      </c>
      <c r="I23" s="29" t="n">
        <f>SUM(I16:I22)</f>
        <v>3986007</v>
      </c>
      <c r="J23" s="29" t="n">
        <f>SUM(J16:J22)</f>
        <v>5019903</v>
      </c>
      <c r="K23" s="29" t="n">
        <f>SUM(K16:K22)</f>
        <v>4824373</v>
      </c>
    </row>
    <row r="24" ht="15.75" customHeight="1">
      <c r="B24" s="36" t="s">
        <v>88</v>
      </c>
      <c r="G24" s="29" t="n">
        <f>G15+G23</f>
        <v>6863505</v>
      </c>
      <c r="H24" s="29" t="n">
        <f>H15+H23</f>
        <v>7765823</v>
      </c>
      <c r="I24" s="29" t="n">
        <f>I15+I23</f>
        <v>8051312</v>
      </c>
      <c r="J24" s="29" t="n">
        <f>J15+J23</f>
        <v>9497146</v>
      </c>
      <c r="K24" s="29" t="n">
        <f>K15+K23</f>
        <v>9628352</v>
      </c>
    </row>
    <row r="25" ht="15.75" customHeight="1">
      <c r="G25" s="33"/>
      <c r="H25" s="33"/>
      <c r="I25" s="33"/>
      <c r="J25" s="33"/>
      <c r="K25" s="33"/>
    </row>
    <row r="26" ht="15.75" customHeight="1">
      <c r="B26" s="36" t="s">
        <v>89</v>
      </c>
      <c r="G26" s="33"/>
      <c r="H26" s="33"/>
      <c r="I26" s="33"/>
      <c r="J26" s="33"/>
      <c r="K26" s="33"/>
    </row>
    <row r="27" ht="15.75" customHeight="1">
      <c r="C27" s="19" t="s">
        <v>90</v>
      </c>
      <c r="G27" s="27">
        <v>2205898</v>
      </c>
      <c r="H27" s="27">
        <v>2592857</v>
      </c>
      <c r="I27" s="27">
        <v>3060888</v>
      </c>
      <c r="J27" s="27">
        <v>3533946</v>
      </c>
      <c r="K27" s="27">
        <v>3906893</v>
      </c>
    </row>
    <row r="28" ht="15.75" customHeight="1">
      <c r="C28" s="19" t="s">
        <v>91</v>
      </c>
      <c r="G28" s="27">
        <v>5518</v>
      </c>
      <c r="H28" s="27">
        <v>9630</v>
      </c>
      <c r="I28" s="27">
        <v>9734</v>
      </c>
      <c r="J28" s="27">
        <v>9292</v>
      </c>
      <c r="K28" s="27">
        <v>7849</v>
      </c>
    </row>
    <row r="29" ht="15.75" customHeight="1">
      <c r="B29" s="36" t="s">
        <v>92</v>
      </c>
      <c r="G29" s="29" t="n">
        <f>G27+G28</f>
        <v>2211416</v>
      </c>
      <c r="H29" s="29" t="n">
        <f>H27+H28</f>
        <v>2602487</v>
      </c>
      <c r="I29" s="29" t="n">
        <f>I27+I28</f>
        <v>3070622</v>
      </c>
      <c r="J29" s="29" t="n">
        <f>J27+J28</f>
        <v>3543238</v>
      </c>
      <c r="K29" s="29" t="n">
        <f>K27+K28</f>
        <v>3914742</v>
      </c>
    </row>
    <row r="30" ht="15.75" customHeight="1">
      <c r="C30" s="19" t="s">
        <v>93</v>
      </c>
      <c r="G30" s="27">
        <v>101200</v>
      </c>
      <c r="H30" s="27">
        <v>110807</v>
      </c>
      <c r="I30" s="27">
        <v>123045</v>
      </c>
      <c r="J30" s="27">
        <v>134147</v>
      </c>
      <c r="K30" s="27">
        <v>145294</v>
      </c>
    </row>
    <row r="31" ht="15.75" customHeight="1">
      <c r="C31" s="19" t="s">
        <v>94</v>
      </c>
      <c r="G31" s="27">
        <v>150868</v>
      </c>
      <c r="H31" s="27">
        <v>180694</v>
      </c>
      <c r="I31" s="27">
        <v>187276</v>
      </c>
      <c r="J31" s="27">
        <v>206212</v>
      </c>
      <c r="K31" s="27">
        <v>184481</v>
      </c>
    </row>
    <row r="32" ht="15.75" customHeight="1">
      <c r="C32" s="19" t="s">
        <v>95</v>
      </c>
      <c r="G32" s="27">
        <v>95973</v>
      </c>
      <c r="H32" s="27">
        <v>126507</v>
      </c>
      <c r="I32" s="27">
        <v>136846</v>
      </c>
      <c r="J32" s="27">
        <v>110016</v>
      </c>
      <c r="K32" s="27">
        <v>254387</v>
      </c>
    </row>
    <row r="33" ht="15.75" customHeight="1">
      <c r="C33" s="19" t="s">
        <v>96</v>
      </c>
      <c r="G33" s="27">
        <v>2630011</v>
      </c>
      <c r="H33" s="27">
        <v>2811779</v>
      </c>
      <c r="I33" s="27">
        <v>2477186</v>
      </c>
      <c r="J33" s="27">
        <v>3351888</v>
      </c>
      <c r="K33" s="27">
        <v>2884220</v>
      </c>
    </row>
    <row r="34" ht="15.75" customHeight="1">
      <c r="C34" s="19" t="s">
        <v>97</v>
      </c>
      <c r="G34" s="27">
        <v>726775</v>
      </c>
      <c r="H34" s="27">
        <v>952025</v>
      </c>
      <c r="I34" s="27">
        <v>1022967</v>
      </c>
      <c r="J34" s="27">
        <v>1106221</v>
      </c>
      <c r="K34" s="27">
        <v>1391616</v>
      </c>
    </row>
    <row r="35" ht="15.75" customHeight="1">
      <c r="C35" s="19" t="s">
        <v>98</v>
      </c>
      <c r="G35" s="27">
        <v>36520</v>
      </c>
      <c r="H35" s="27">
        <v>19993</v>
      </c>
      <c r="I35" s="27">
        <v>13539</v>
      </c>
      <c r="J35" s="27">
        <v>61894</v>
      </c>
      <c r="K35" s="27">
        <v>7405</v>
      </c>
    </row>
    <row r="36" ht="15.75" customHeight="1">
      <c r="C36" s="19" t="s">
        <v>99</v>
      </c>
      <c r="G36" s="27">
        <v>797832</v>
      </c>
      <c r="H36" s="27">
        <v>902968</v>
      </c>
      <c r="I36" s="27">
        <v>930560</v>
      </c>
      <c r="J36" s="27">
        <v>945657</v>
      </c>
      <c r="K36" s="27">
        <v>841256</v>
      </c>
    </row>
    <row r="37" ht="15.75" customHeight="1">
      <c r="C37" s="19" t="s">
        <v>100</v>
      </c>
      <c r="G37" s="27">
        <v>112910</v>
      </c>
      <c r="H37" s="27">
        <v>58563</v>
      </c>
      <c r="I37" s="27">
        <v>89271</v>
      </c>
      <c r="J37" s="27">
        <v>37873</v>
      </c>
      <c r="K37" s="27">
        <v>4951</v>
      </c>
    </row>
    <row r="38" ht="15.75" customHeight="1">
      <c r="B38" s="36" t="s">
        <v>101</v>
      </c>
      <c r="G38" s="29" t="n">
        <f>G29+SUM(G30:G37)</f>
        <v>6863505</v>
      </c>
      <c r="H38" s="29" t="n">
        <f>H29+SUM(H30:H37)</f>
        <v>7765823</v>
      </c>
      <c r="I38" s="29" t="n">
        <f>I29+SUM(I30:I37)</f>
        <v>8051312</v>
      </c>
      <c r="J38" s="29" t="n">
        <f>J29+SUM(J30:J37)</f>
        <v>9497146</v>
      </c>
      <c r="K38" s="29" t="n">
        <f>K29+SUM(K30:K37)</f>
        <v>9628352</v>
      </c>
    </row>
    <row r="40" ht="15.75" customHeight="1">
      <c r="C40" s="19"/>
      <c r="G40" s="20"/>
      <c r="H40" s="20"/>
      <c r="I40" s="20"/>
      <c r="J40" s="20"/>
      <c r="K40" s="20"/>
    </row>
  </sheetData>
  <mergeCells>
    <mergeCell ref="B8:F8"/>
    <mergeCell ref="A1:U3"/>
    <mergeCell ref="A4:G4"/>
    <mergeCell ref="H4:N4"/>
    <mergeCell ref="O4:U4"/>
    <mergeCell ref="A5:U5"/>
  </mergeCells>
  <pageMargins left="0.7" right="0.7" top="0.75" bottom="0.75" header="0.3" footer="0.3"/>
  <drawing r:id="R937536b178564b45"/>
</worksheet>
</file>

<file path=xl/worksheets/sheet6.xml><?xml version="1.0" encoding="utf-8"?>
<worksheet xmlns="http://schemas.openxmlformats.org/spreadsheetml/2006/main" xmlns:r="http://schemas.openxmlformats.org/officeDocument/2006/relationships">
  <sheetFormatPr baseColWidth="10" defaultColWidth="10.83203125" defaultRowHeight="16"/>
  <cols>
    <col min="1" max="1" width="10.83203125" style="37" customWidth="0"/>
    <col min="2" max="2" width="3.33203125" style="37" customWidth="1"/>
    <col min="3" max="5" width="10.83203125" style="37" customWidth="0"/>
    <col min="6" max="6" width="14.33203125" style="37" customWidth="1"/>
    <col min="7" max="21" width="10.83203125" style="37" customWidth="0"/>
    <col min="22" max="16384" width="10.83203125" style="38" customWidth="0"/>
  </cols>
  <sheetData>
    <row r="1" ht="15.75" customHeight="1">
      <c r="A1" s="322" t="s">
        <v>102</v>
      </c>
      <c r="B1" s="322"/>
      <c r="C1" s="322"/>
      <c r="D1" s="322"/>
      <c r="E1" s="322"/>
      <c r="F1" s="322"/>
      <c r="G1" s="322"/>
      <c r="H1" s="322"/>
      <c r="I1" s="322"/>
      <c r="J1" s="322"/>
      <c r="K1" s="322"/>
      <c r="L1" s="322"/>
      <c r="M1" s="322"/>
      <c r="N1" s="322"/>
      <c r="O1" s="322"/>
      <c r="P1" s="322"/>
      <c r="Q1" s="322"/>
      <c r="R1" s="322"/>
      <c r="S1" s="322"/>
      <c r="T1" s="322"/>
      <c r="U1" s="322"/>
    </row>
    <row r="2" ht="15.75" customHeight="1">
      <c r="A2" s="322"/>
      <c r="B2" s="322"/>
      <c r="C2" s="322"/>
      <c r="D2" s="322"/>
      <c r="E2" s="322"/>
      <c r="F2" s="322"/>
      <c r="G2" s="322"/>
      <c r="H2" s="322"/>
      <c r="I2" s="322"/>
      <c r="J2" s="322"/>
      <c r="K2" s="322"/>
      <c r="L2" s="322"/>
      <c r="M2" s="322"/>
      <c r="N2" s="322"/>
      <c r="O2" s="322"/>
      <c r="P2" s="322"/>
      <c r="Q2" s="322"/>
      <c r="R2" s="322"/>
      <c r="S2" s="322"/>
      <c r="T2" s="322"/>
      <c r="U2" s="322"/>
    </row>
    <row r="3" ht="15.75" customHeight="1">
      <c r="A3" s="322"/>
      <c r="B3" s="322"/>
      <c r="C3" s="322"/>
      <c r="D3" s="322"/>
      <c r="E3" s="322"/>
      <c r="F3" s="322"/>
      <c r="G3" s="322"/>
      <c r="H3" s="322"/>
      <c r="I3" s="322"/>
      <c r="J3" s="322"/>
      <c r="K3" s="322"/>
      <c r="L3" s="322"/>
      <c r="M3" s="322"/>
      <c r="N3" s="322"/>
      <c r="O3" s="322"/>
      <c r="P3" s="322"/>
      <c r="Q3" s="322"/>
      <c r="R3" s="322"/>
      <c r="S3" s="322"/>
      <c r="T3" s="322"/>
      <c r="U3" s="322"/>
    </row>
    <row r="4" ht="4.5" customHeight="1">
      <c r="A4" s="323"/>
      <c r="B4" s="323"/>
      <c r="C4" s="323"/>
      <c r="D4" s="323"/>
      <c r="E4" s="323"/>
      <c r="F4" s="323"/>
      <c r="G4" s="323"/>
      <c r="H4" s="319"/>
      <c r="I4" s="319"/>
      <c r="J4" s="319"/>
      <c r="K4" s="319"/>
      <c r="L4" s="319"/>
      <c r="M4" s="319"/>
      <c r="N4" s="319"/>
      <c r="O4" s="324"/>
      <c r="P4" s="324"/>
      <c r="Q4" s="324"/>
      <c r="R4" s="324"/>
      <c r="S4" s="324"/>
      <c r="T4" s="324"/>
      <c r="U4" s="324"/>
    </row>
    <row r="5" ht="1.5" customHeight="1">
      <c r="A5" s="325"/>
      <c r="B5" s="325"/>
      <c r="C5" s="325"/>
      <c r="D5" s="325"/>
      <c r="E5" s="325"/>
      <c r="F5" s="325"/>
      <c r="G5" s="325"/>
      <c r="H5" s="325"/>
      <c r="I5" s="325"/>
      <c r="J5" s="325"/>
      <c r="K5" s="325"/>
      <c r="L5" s="325"/>
      <c r="M5" s="325"/>
      <c r="N5" s="325"/>
      <c r="O5" s="325"/>
      <c r="P5" s="325"/>
      <c r="Q5" s="325"/>
      <c r="R5" s="325"/>
      <c r="S5" s="325"/>
      <c r="T5" s="325"/>
      <c r="U5" s="325"/>
    </row>
    <row r="6" ht="15.75" customHeight="1">
      <c r="U6" s="37" t="s">
        <v>49</v>
      </c>
    </row>
    <row r="7">
      <c r="K7" s="285"/>
    </row>
    <row r="8" ht="15.75" customHeight="1">
      <c r="B8" s="319"/>
      <c r="C8" s="319"/>
      <c r="D8" s="319"/>
      <c r="E8" s="319"/>
      <c r="F8" s="319"/>
      <c r="G8" s="40" t="s">
        <v>44</v>
      </c>
      <c r="H8" s="40" t="s">
        <v>45</v>
      </c>
      <c r="I8" s="40" t="s">
        <v>46</v>
      </c>
      <c r="J8" s="40" t="s">
        <v>47</v>
      </c>
      <c r="K8" s="40" t="s">
        <v>48</v>
      </c>
    </row>
    <row r="9" ht="15.75" customHeight="1">
      <c r="B9" s="320" t="s">
        <v>103</v>
      </c>
      <c r="C9" s="320"/>
      <c r="D9" s="320"/>
      <c r="E9" s="320"/>
      <c r="F9" s="320"/>
      <c r="G9" s="42">
        <v>1362406</v>
      </c>
      <c r="H9" s="42">
        <v>1344146</v>
      </c>
      <c r="I9" s="42">
        <v>1388901</v>
      </c>
      <c r="J9" s="42">
        <v>1121981</v>
      </c>
      <c r="K9" s="42">
        <v>1742214</v>
      </c>
    </row>
    <row r="10" ht="15.75" customHeight="1">
      <c r="C10" s="321"/>
      <c r="D10" s="321"/>
      <c r="E10" s="321"/>
      <c r="F10" s="321"/>
      <c r="G10" s="44"/>
      <c r="H10" s="44"/>
      <c r="I10" s="44"/>
      <c r="J10" s="44"/>
      <c r="K10" s="44"/>
    </row>
    <row r="11" ht="15.75" customHeight="1">
      <c r="B11" s="45" t="s">
        <v>104</v>
      </c>
      <c r="C11" s="43"/>
      <c r="G11" s="44"/>
      <c r="H11" s="44"/>
      <c r="I11" s="44"/>
      <c r="J11" s="44"/>
      <c r="K11" s="44"/>
    </row>
    <row r="12" ht="15.75" customHeight="1">
      <c r="C12" s="41" t="s">
        <v>105</v>
      </c>
      <c r="G12" s="42" t="n">
        <f>'Historical Income Statement'!G21</f>
        <v>833136</v>
      </c>
      <c r="H12" s="42" t="n">
        <f>'Historical Income Statement'!H21</f>
        <v>939294</v>
      </c>
      <c r="I12" s="42" t="n">
        <f>'Historical Income Statement'!I21</f>
        <v>1257457</v>
      </c>
      <c r="J12" s="42" t="n">
        <f>'Historical Income Statement'!J21</f>
        <v>1525913</v>
      </c>
      <c r="K12" s="42" t="n">
        <f>'Historical Income Statement'!K21</f>
        <v>1599516</v>
      </c>
    </row>
    <row r="13" ht="15.75" customHeight="1">
      <c r="C13" s="41" t="s">
        <v>106</v>
      </c>
      <c r="G13" s="42" t="n">
        <f>'Historical Income Statement'!G20</f>
        <v>209095</v>
      </c>
      <c r="H13" s="42" t="n">
        <f>'Historical Income Statement'!H20</f>
        <v>238472</v>
      </c>
      <c r="I13" s="42" t="n">
        <f>'Historical Income Statement'!I20</f>
        <v>344897</v>
      </c>
      <c r="J13" s="42" t="n">
        <f>'Historical Income Statement'!J20</f>
        <v>363043</v>
      </c>
      <c r="K13" s="42" t="n">
        <f>'Historical Income Statement'!K20</f>
        <v>464119</v>
      </c>
    </row>
    <row r="14" ht="15.75" customHeight="1">
      <c r="C14" s="41" t="s">
        <v>107</v>
      </c>
      <c r="D14" s="43"/>
      <c r="E14" s="43"/>
      <c r="F14" s="43"/>
      <c r="G14" s="42">
        <v>455989</v>
      </c>
      <c r="H14" s="42">
        <v>546225</v>
      </c>
      <c r="I14" s="42">
        <v>662305</v>
      </c>
      <c r="J14" s="42">
        <v>666777</v>
      </c>
      <c r="K14" s="42">
        <v>661937</v>
      </c>
    </row>
    <row r="15" ht="15.75" customHeight="1">
      <c r="B15" s="46"/>
      <c r="C15" s="47" t="s">
        <v>108</v>
      </c>
      <c r="G15" s="42">
        <v>30284</v>
      </c>
      <c r="H15" s="42">
        <v>72331</v>
      </c>
      <c r="I15" s="42">
        <v>64834</v>
      </c>
      <c r="J15" s="42">
        <v>81546</v>
      </c>
      <c r="K15" s="42">
        <v>54466</v>
      </c>
    </row>
    <row r="16" ht="15.75" customHeight="1">
      <c r="C16" s="47" t="s">
        <v>109</v>
      </c>
      <c r="G16" s="42">
        <v>-6896</v>
      </c>
      <c r="H16" s="42">
        <v>-6175</v>
      </c>
      <c r="I16" s="42">
        <v>-6137</v>
      </c>
      <c r="J16" s="42">
        <v>-8245</v>
      </c>
      <c r="K16" s="42">
        <v>-12572</v>
      </c>
    </row>
    <row r="17" ht="15.75" customHeight="1">
      <c r="B17" s="48"/>
      <c r="C17" s="47" t="s">
        <v>110</v>
      </c>
      <c r="G17" s="42">
        <v>-42999</v>
      </c>
      <c r="H17" s="42">
        <v>-83858</v>
      </c>
      <c r="I17" s="42">
        <v>-132319</v>
      </c>
      <c r="J17" s="42">
        <v>-147100</v>
      </c>
      <c r="K17" s="42">
        <v>-168145</v>
      </c>
    </row>
    <row r="18" ht="15.75" customHeight="1">
      <c r="C18" s="47" t="s">
        <v>111</v>
      </c>
      <c r="G18" s="42">
        <v>76256</v>
      </c>
      <c r="H18" s="42">
        <v>133474</v>
      </c>
      <c r="I18" s="42">
        <v>147334</v>
      </c>
      <c r="J18" s="42">
        <v>145895</v>
      </c>
      <c r="K18" s="42">
        <v>214226</v>
      </c>
    </row>
    <row r="19" ht="15.75" customHeight="1">
      <c r="B19" s="48"/>
      <c r="C19" s="47" t="s">
        <v>112</v>
      </c>
      <c r="G19" s="42">
        <v>23941</v>
      </c>
      <c r="H19" s="42">
        <v>46653</v>
      </c>
      <c r="I19" s="42">
        <v>79813</v>
      </c>
      <c r="J19" s="42">
        <v>91909</v>
      </c>
      <c r="K19" s="42">
        <v>98169</v>
      </c>
    </row>
    <row r="20" ht="15.75" customHeight="1">
      <c r="C20" s="47" t="s">
        <v>113</v>
      </c>
      <c r="G20" s="42">
        <v>-81309</v>
      </c>
      <c r="H20" s="42">
        <v>-153890</v>
      </c>
      <c r="I20" s="42">
        <v>-309564</v>
      </c>
      <c r="J20" s="42">
        <v>-157526</v>
      </c>
      <c r="K20" s="42">
        <v>-76684</v>
      </c>
    </row>
    <row r="21" ht="15.75" customHeight="1">
      <c r="C21" s="47" t="s">
        <v>114</v>
      </c>
      <c r="G21" s="42">
        <v>1771</v>
      </c>
      <c r="H21" s="42">
        <v>-48400</v>
      </c>
      <c r="I21" s="42">
        <v>-33381</v>
      </c>
      <c r="J21" s="42">
        <v>-94029</v>
      </c>
      <c r="K21" s="42">
        <v>-20617</v>
      </c>
    </row>
    <row r="22" ht="15.75" customHeight="1">
      <c r="C22" s="47" t="s">
        <v>115</v>
      </c>
      <c r="G22" s="42">
        <v>72568</v>
      </c>
      <c r="H22" s="42">
        <v>103981</v>
      </c>
      <c r="I22" s="42">
        <v>43277</v>
      </c>
      <c r="J22" s="42">
        <v>7672</v>
      </c>
      <c r="K22" s="42">
        <v>-59130</v>
      </c>
    </row>
    <row r="23" ht="15.75" customHeight="1">
      <c r="C23" s="47" t="s">
        <v>116</v>
      </c>
      <c r="G23" s="42">
        <v>-122746</v>
      </c>
      <c r="H23" s="42">
        <v>-187890</v>
      </c>
      <c r="I23" s="42">
        <v>-107247</v>
      </c>
      <c r="J23" s="42">
        <v>-118687</v>
      </c>
      <c r="K23" s="42">
        <v>-154580</v>
      </c>
    </row>
    <row r="24" ht="15.75" customHeight="1">
      <c r="C24" s="47" t="s">
        <v>117</v>
      </c>
      <c r="G24" s="42">
        <v>-29840</v>
      </c>
      <c r="H24" s="42">
        <v>140008</v>
      </c>
      <c r="I24" s="42">
        <v>48642</v>
      </c>
      <c r="J24" s="42">
        <v>-20045</v>
      </c>
      <c r="K24" s="42">
        <v>222377</v>
      </c>
    </row>
    <row r="25" ht="15.75" customHeight="1">
      <c r="C25" s="47" t="s">
        <v>118</v>
      </c>
      <c r="G25" s="42">
        <v>1679</v>
      </c>
      <c r="H25" s="42">
        <v>5158</v>
      </c>
      <c r="I25" s="42">
        <v>32432</v>
      </c>
      <c r="J25" s="42">
        <v>49673</v>
      </c>
      <c r="K25" s="42">
        <v>38035</v>
      </c>
    </row>
    <row r="26" ht="15.75" customHeight="1">
      <c r="C26" s="47" t="s">
        <v>119</v>
      </c>
      <c r="G26" s="42">
        <v>-29202</v>
      </c>
      <c r="H26" s="42">
        <v>-37351</v>
      </c>
      <c r="I26" s="42">
        <v>-83243</v>
      </c>
      <c r="J26" s="42">
        <v>-50354</v>
      </c>
      <c r="K26" s="42">
        <v>-126257</v>
      </c>
    </row>
    <row r="27" ht="15.75" customHeight="1">
      <c r="C27" s="47" t="s">
        <v>120</v>
      </c>
      <c r="G27" s="42">
        <v>-109001</v>
      </c>
      <c r="H27" s="42">
        <v>-304692</v>
      </c>
      <c r="I27" s="42">
        <v>-292463</v>
      </c>
      <c r="J27" s="42">
        <v>-409786</v>
      </c>
      <c r="K27" s="42">
        <v>-385554</v>
      </c>
    </row>
    <row r="28" ht="15.75" customHeight="1">
      <c r="B28" s="45" t="s">
        <v>121</v>
      </c>
      <c r="G28" s="49" t="n">
        <f>SUM(G12:G27)</f>
        <v>1282726</v>
      </c>
      <c r="H28" s="49" t="n">
        <f>SUM(H12:H27)</f>
        <v>1403340</v>
      </c>
      <c r="I28" s="49" t="n">
        <f>SUM(I12:I27)</f>
        <v>1716637</v>
      </c>
      <c r="J28" s="49" t="n">
        <f>SUM(J12:J27)</f>
        <v>1926656</v>
      </c>
      <c r="K28" s="49" t="n">
        <f>SUM(K12:K27)</f>
        <v>2349306</v>
      </c>
    </row>
    <row r="29" ht="15.75" customHeight="1">
      <c r="G29" s="44"/>
      <c r="H29" s="44"/>
      <c r="I29" s="44"/>
      <c r="J29" s="44"/>
      <c r="K29" s="44"/>
    </row>
    <row r="30" ht="15.75" customHeight="1">
      <c r="B30" s="45" t="s">
        <v>122</v>
      </c>
      <c r="G30" s="44"/>
      <c r="H30" s="44"/>
      <c r="I30" s="44"/>
      <c r="J30" s="44"/>
      <c r="K30" s="44"/>
    </row>
    <row r="31" ht="15.75" customHeight="1">
      <c r="C31" s="47" t="s">
        <v>123</v>
      </c>
      <c r="G31" s="42">
        <v>-384827</v>
      </c>
      <c r="H31" s="42">
        <v>-456894</v>
      </c>
      <c r="I31" s="42">
        <v>-487148</v>
      </c>
      <c r="J31" s="42">
        <v>-506874</v>
      </c>
      <c r="K31" s="42">
        <v>-457976</v>
      </c>
    </row>
    <row r="32" ht="15.75" customHeight="1">
      <c r="C32" s="47" t="s">
        <v>124</v>
      </c>
      <c r="G32" s="42">
        <v>-352316</v>
      </c>
      <c r="H32" s="42">
        <v>-347725</v>
      </c>
      <c r="I32" s="42">
        <v>-381762</v>
      </c>
      <c r="J32" s="42">
        <v>-482277</v>
      </c>
      <c r="K32" s="42">
        <v>-485210</v>
      </c>
    </row>
    <row r="33" ht="15.75" customHeight="1">
      <c r="C33" s="47" t="s">
        <v>125</v>
      </c>
      <c r="G33" s="42">
        <v>0</v>
      </c>
      <c r="H33" s="42">
        <v>-1367</v>
      </c>
      <c r="I33" s="42">
        <v>0</v>
      </c>
      <c r="J33" s="42">
        <v>0</v>
      </c>
      <c r="K33" s="42">
        <v>-1352</v>
      </c>
    </row>
    <row r="34" ht="15.75" customHeight="1">
      <c r="C34" s="47" t="s">
        <v>126</v>
      </c>
      <c r="G34" s="42">
        <v>4405</v>
      </c>
      <c r="H34" s="42">
        <v>578</v>
      </c>
      <c r="I34" s="42">
        <v>2458</v>
      </c>
      <c r="J34" s="42">
        <v>2041</v>
      </c>
      <c r="K34" s="42">
        <v>400</v>
      </c>
    </row>
    <row r="35" ht="15.75" customHeight="1">
      <c r="B35" s="45" t="s">
        <v>127</v>
      </c>
      <c r="G35" s="49" t="n">
        <f>SUM(G31:G34)</f>
        <v>-732738</v>
      </c>
      <c r="H35" s="49" t="n">
        <f>SUM(H31:H34)</f>
        <v>-805408</v>
      </c>
      <c r="I35" s="49" t="n">
        <f>SUM(I31:I34)</f>
        <v>-866452</v>
      </c>
      <c r="J35" s="49" t="n">
        <f>SUM(J31:J34)</f>
        <v>-987110</v>
      </c>
      <c r="K35" s="49" t="n">
        <f>SUM(K31:K34)</f>
        <v>-944138</v>
      </c>
    </row>
    <row r="36" ht="15.75" customHeight="1">
      <c r="G36" s="44"/>
      <c r="H36" s="44"/>
      <c r="I36" s="44"/>
      <c r="J36" s="44"/>
      <c r="K36" s="44"/>
    </row>
    <row r="37" ht="15.75" customHeight="1">
      <c r="B37" s="45" t="s">
        <v>128</v>
      </c>
      <c r="G37" s="44"/>
      <c r="H37" s="44"/>
      <c r="I37" s="44"/>
      <c r="J37" s="44"/>
      <c r="K37" s="44"/>
    </row>
    <row r="38" ht="15.75" customHeight="1">
      <c r="C38" s="47" t="s">
        <v>129</v>
      </c>
      <c r="G38" s="42">
        <v>149495</v>
      </c>
      <c r="H38" s="42">
        <v>0</v>
      </c>
      <c r="I38" s="42">
        <v>0</v>
      </c>
      <c r="J38" s="42">
        <v>496145</v>
      </c>
      <c r="K38" s="42">
        <v>0</v>
      </c>
    </row>
    <row r="39" ht="15.75" customHeight="1">
      <c r="C39" s="47" t="s">
        <v>130</v>
      </c>
      <c r="G39" s="42">
        <v>-500000</v>
      </c>
      <c r="H39" s="42">
        <v>0</v>
      </c>
      <c r="I39" s="42">
        <v>-575702</v>
      </c>
      <c r="J39" s="42">
        <v>0</v>
      </c>
      <c r="K39" s="42">
        <v>-450963</v>
      </c>
    </row>
    <row r="40" ht="15.75" customHeight="1">
      <c r="C40" s="47" t="s">
        <v>131</v>
      </c>
      <c r="G40" s="42">
        <v>248714</v>
      </c>
      <c r="H40" s="42">
        <v>218924</v>
      </c>
      <c r="I40" s="42">
        <v>151217</v>
      </c>
      <c r="J40" s="42">
        <v>340499</v>
      </c>
      <c r="K40" s="42">
        <v>142375</v>
      </c>
    </row>
    <row r="41" ht="15.75" customHeight="1">
      <c r="C41" s="47" t="s">
        <v>132</v>
      </c>
      <c r="G41" s="42">
        <v>-177270</v>
      </c>
      <c r="H41" s="42">
        <v>-72824</v>
      </c>
      <c r="I41" s="42">
        <v>-49611</v>
      </c>
      <c r="J41" s="42">
        <v>-243649</v>
      </c>
      <c r="K41" s="42">
        <v>-33294</v>
      </c>
    </row>
    <row r="42" ht="15.75" customHeight="1">
      <c r="C42" s="47" t="s">
        <v>133</v>
      </c>
      <c r="G42" s="42">
        <v>142344</v>
      </c>
      <c r="H42" s="42">
        <v>8909</v>
      </c>
      <c r="I42" s="42">
        <v>250000</v>
      </c>
      <c r="J42" s="42">
        <v>225000</v>
      </c>
      <c r="K42" s="42">
        <v>400000</v>
      </c>
    </row>
    <row r="43" ht="15.75" customHeight="1">
      <c r="C43" s="47" t="s">
        <v>134</v>
      </c>
      <c r="G43" s="42">
        <v>-20959</v>
      </c>
      <c r="H43" s="42">
        <v>-55000</v>
      </c>
      <c r="I43" s="42">
        <v>-72500</v>
      </c>
      <c r="J43" s="42">
        <v>-104690</v>
      </c>
      <c r="K43" s="42">
        <v>-378332</v>
      </c>
    </row>
    <row r="44" ht="15.75" customHeight="1">
      <c r="C44" s="47" t="s">
        <v>135</v>
      </c>
      <c r="G44" s="42">
        <v>17265</v>
      </c>
      <c r="H44" s="42">
        <v>34456</v>
      </c>
      <c r="I44" s="42">
        <v>34596</v>
      </c>
      <c r="J44" s="42">
        <v>51022</v>
      </c>
      <c r="K44" s="42">
        <v>42527</v>
      </c>
    </row>
    <row r="45" ht="15.75" customHeight="1">
      <c r="C45" s="47" t="s">
        <v>136</v>
      </c>
      <c r="G45" s="42">
        <v>-25302</v>
      </c>
      <c r="H45" s="42">
        <v>-23215</v>
      </c>
      <c r="I45" s="42">
        <v>-35566</v>
      </c>
      <c r="J45" s="42">
        <v>-41297</v>
      </c>
      <c r="K45" s="42">
        <v>-46161</v>
      </c>
    </row>
    <row r="46" ht="15.75" customHeight="1">
      <c r="C46" s="47" t="s">
        <v>137</v>
      </c>
      <c r="G46" s="42">
        <v>-21605</v>
      </c>
      <c r="H46" s="42">
        <v>-16500</v>
      </c>
      <c r="I46" s="42">
        <v>-17691</v>
      </c>
      <c r="J46" s="42">
        <v>-22001</v>
      </c>
      <c r="K46" s="42">
        <v>-23825</v>
      </c>
    </row>
    <row r="47" ht="15.75" customHeight="1">
      <c r="C47" s="47" t="s">
        <v>138</v>
      </c>
      <c r="G47" s="42">
        <v>-160101</v>
      </c>
      <c r="H47" s="42">
        <v>-249522</v>
      </c>
      <c r="I47" s="42">
        <v>-328631</v>
      </c>
      <c r="J47" s="42">
        <v>-439918</v>
      </c>
      <c r="K47" s="42">
        <v>-529707</v>
      </c>
    </row>
    <row r="48" ht="15.75" customHeight="1">
      <c r="C48" s="47" t="s">
        <v>139</v>
      </c>
      <c r="G48" s="42">
        <v>-1354</v>
      </c>
      <c r="H48" s="42">
        <v>-2266</v>
      </c>
      <c r="I48" s="42">
        <v>-4890</v>
      </c>
      <c r="J48" s="42">
        <v>-4788</v>
      </c>
      <c r="K48" s="42">
        <v>-4448</v>
      </c>
    </row>
    <row r="49" ht="15.75" customHeight="1">
      <c r="C49" s="47" t="s">
        <v>140</v>
      </c>
      <c r="G49" s="42">
        <v>-230899</v>
      </c>
      <c r="H49" s="42">
        <v>-396522</v>
      </c>
      <c r="I49" s="42">
        <v>-460629</v>
      </c>
      <c r="J49" s="42">
        <v>-581084</v>
      </c>
      <c r="K49" s="42">
        <v>-785329</v>
      </c>
    </row>
    <row r="50" ht="15.75" customHeight="1">
      <c r="B50" s="45" t="s">
        <v>141</v>
      </c>
      <c r="G50" s="49" t="n">
        <f>SUM(G38:G49)</f>
        <v>-579672</v>
      </c>
      <c r="H50" s="49" t="n">
        <f>SUM(H38:H49)</f>
        <v>-553560</v>
      </c>
      <c r="I50" s="49" t="n">
        <f>SUM(I38:I49)</f>
        <v>-1109407</v>
      </c>
      <c r="J50" s="49" t="n">
        <f>SUM(J38:J49)</f>
        <v>-324761</v>
      </c>
      <c r="K50" s="49" t="n">
        <f>SUM(K38:K49)</f>
        <v>-1667157</v>
      </c>
    </row>
    <row r="51" ht="15.75" customHeight="1">
      <c r="G51" s="44"/>
      <c r="H51" s="44"/>
      <c r="I51" s="44"/>
      <c r="J51" s="44"/>
      <c r="K51" s="44"/>
    </row>
    <row r="52" ht="15.75" customHeight="1">
      <c r="C52" s="47" t="s">
        <v>142</v>
      </c>
      <c r="G52" s="42">
        <v>11424</v>
      </c>
      <c r="H52" s="42">
        <v>383</v>
      </c>
      <c r="I52" s="42">
        <v>-7698</v>
      </c>
      <c r="J52" s="42">
        <v>5448</v>
      </c>
      <c r="K52" s="42">
        <v>-12514</v>
      </c>
    </row>
    <row r="53" ht="15.75" customHeight="1">
      <c r="B53" s="45" t="s">
        <v>143</v>
      </c>
      <c r="G53" s="49" t="n">
        <f>G28+G35+G50+G52</f>
        <v>-18260</v>
      </c>
      <c r="H53" s="49" t="n">
        <f>H28+H35+H50+H52</f>
        <v>44755</v>
      </c>
      <c r="I53" s="49" t="n">
        <f>I28+I35+I50+I52</f>
        <v>-266920</v>
      </c>
      <c r="J53" s="49" t="n">
        <f>J28+J35+J50+J52</f>
        <v>620233</v>
      </c>
      <c r="K53" s="49" t="n">
        <f>K28+K35+K50+K52</f>
        <v>-274503</v>
      </c>
    </row>
    <row r="54" ht="15.75" customHeight="1">
      <c r="B54" s="45" t="s">
        <v>144</v>
      </c>
      <c r="G54" s="49" t="n">
        <f>G9+G53</f>
        <v>1344146</v>
      </c>
      <c r="H54" s="49" t="n">
        <f>H9+H53</f>
        <v>1388901</v>
      </c>
      <c r="I54" s="49" t="n">
        <f>I9+I53</f>
        <v>1121981</v>
      </c>
      <c r="J54" s="49" t="n">
        <f>J9+J53</f>
        <v>1742214</v>
      </c>
      <c r="K54" s="49" t="n">
        <f>K9+K53</f>
        <v>1467711</v>
      </c>
    </row>
  </sheetData>
  <mergeCells>
    <mergeCell ref="B8:F8"/>
    <mergeCell ref="B9:F9"/>
    <mergeCell ref="C10:F10"/>
    <mergeCell ref="A1:U3"/>
    <mergeCell ref="A4:G4"/>
    <mergeCell ref="H4:N4"/>
    <mergeCell ref="O4:U4"/>
    <mergeCell ref="A5:U5"/>
  </mergeCells>
  <pageMargins left="0.7" right="0.7" top="0.75" bottom="0.75" header="0.3" footer="0.3"/>
  <drawing r:id="Rcdf5fe74317c4b68"/>
</worksheet>
</file>

<file path=xl/worksheets/sheet7.xml><?xml version="1.0" encoding="utf-8"?>
<worksheet xmlns="http://schemas.openxmlformats.org/spreadsheetml/2006/main" xmlns:r="http://schemas.openxmlformats.org/officeDocument/2006/relationships">
  <sheetViews>
    <sheetView showGridLines="0" workbookViewId="0"/>
  </sheetViews>
  <sheetFormatPr baseColWidth="10" defaultColWidth="10.5" defaultRowHeight="16"/>
  <cols>
    <col min="1" max="1" width="10.5" style="11" customWidth="0"/>
    <col min="2" max="2" width="1.83203125" style="11" customWidth="1"/>
    <col min="3" max="3" width="10.5" style="11" customWidth="0"/>
    <col min="4" max="4" width="13.5" style="11" customWidth="1"/>
    <col min="5" max="5" width="12.5" style="11" customWidth="1"/>
    <col min="6" max="6" width="27" style="11" customWidth="1"/>
    <col min="7" max="7" width="12" style="11" customWidth="1"/>
    <col min="8" max="21" width="10.5" style="11" customWidth="0"/>
    <col min="22" max="22" width="11" style="11" customWidth="1"/>
  </cols>
  <sheetData>
    <row r="1" ht="15.75" customHeight="1">
      <c r="A1" s="318" t="s">
        <v>145</v>
      </c>
      <c r="B1" s="318"/>
      <c r="C1" s="318"/>
      <c r="D1" s="318"/>
      <c r="E1" s="318"/>
      <c r="F1" s="318"/>
      <c r="G1" s="318"/>
      <c r="H1" s="318"/>
      <c r="I1" s="318"/>
      <c r="J1" s="318"/>
      <c r="K1" s="318"/>
      <c r="L1" s="318"/>
      <c r="M1" s="318"/>
      <c r="N1" s="318"/>
      <c r="O1" s="318"/>
      <c r="P1" s="318"/>
      <c r="Q1" s="318"/>
      <c r="R1" s="318"/>
      <c r="S1" s="318"/>
      <c r="T1" s="318"/>
      <c r="U1" s="318"/>
      <c r="V1" s="318"/>
    </row>
    <row r="2" ht="15.75" customHeight="1">
      <c r="A2" s="318"/>
      <c r="B2" s="318"/>
      <c r="C2" s="318"/>
      <c r="D2" s="318"/>
      <c r="E2" s="318"/>
      <c r="F2" s="318"/>
      <c r="G2" s="318"/>
      <c r="H2" s="318"/>
      <c r="I2" s="318"/>
      <c r="J2" s="318"/>
      <c r="K2" s="318"/>
      <c r="L2" s="318"/>
      <c r="M2" s="318"/>
      <c r="N2" s="318"/>
      <c r="O2" s="318"/>
      <c r="P2" s="318"/>
      <c r="Q2" s="318"/>
      <c r="R2" s="318"/>
      <c r="S2" s="318"/>
      <c r="T2" s="318"/>
      <c r="U2" s="318"/>
      <c r="V2" s="318"/>
    </row>
    <row r="3" ht="15.75" customHeight="1">
      <c r="A3" s="318"/>
      <c r="B3" s="318"/>
      <c r="C3" s="318"/>
      <c r="D3" s="318"/>
      <c r="E3" s="318"/>
      <c r="F3" s="318"/>
      <c r="G3" s="318"/>
      <c r="H3" s="318"/>
      <c r="I3" s="318"/>
      <c r="J3" s="318"/>
      <c r="K3" s="318"/>
      <c r="L3" s="318"/>
      <c r="M3" s="318"/>
      <c r="N3" s="318"/>
      <c r="O3" s="318"/>
      <c r="P3" s="318"/>
      <c r="Q3" s="318"/>
      <c r="R3" s="318"/>
      <c r="S3" s="318"/>
      <c r="T3" s="318"/>
      <c r="U3" s="318"/>
      <c r="V3" s="318"/>
    </row>
    <row r="4" ht="4.5" customHeight="1">
      <c r="A4" s="308"/>
      <c r="B4" s="308"/>
      <c r="C4" s="308"/>
      <c r="D4" s="308"/>
      <c r="E4" s="308"/>
      <c r="F4" s="308"/>
      <c r="G4" s="308"/>
      <c r="H4" s="308"/>
      <c r="I4" s="294"/>
      <c r="J4" s="294"/>
      <c r="K4" s="294"/>
      <c r="L4" s="294"/>
      <c r="M4" s="294"/>
      <c r="N4" s="294"/>
      <c r="O4" s="294"/>
      <c r="P4" s="309"/>
      <c r="Q4" s="309"/>
      <c r="R4" s="309"/>
      <c r="S4" s="309"/>
      <c r="T4" s="309"/>
      <c r="U4" s="309"/>
      <c r="V4" s="309"/>
    </row>
    <row r="5" ht="1.5" customHeight="1">
      <c r="A5" s="312"/>
      <c r="B5" s="312"/>
      <c r="C5" s="312"/>
      <c r="D5" s="312"/>
      <c r="E5" s="312"/>
      <c r="F5" s="312"/>
      <c r="G5" s="312"/>
      <c r="H5" s="312"/>
      <c r="I5" s="312"/>
      <c r="J5" s="312"/>
      <c r="K5" s="312"/>
      <c r="L5" s="312"/>
      <c r="M5" s="312"/>
      <c r="N5" s="312"/>
      <c r="O5" s="312"/>
      <c r="P5" s="312"/>
      <c r="Q5" s="312"/>
      <c r="R5" s="312"/>
      <c r="S5" s="312"/>
      <c r="T5" s="312"/>
      <c r="U5" s="312"/>
      <c r="V5" s="312"/>
    </row>
    <row r="6" ht="15.75" customHeight="1">
      <c r="U6" s="11" t="s">
        <v>49</v>
      </c>
    </row>
    <row r="7" ht="15.75" customHeight="1">
      <c r="K7" s="140"/>
    </row>
    <row r="8" ht="15.75" customHeight="1">
      <c r="B8" s="294"/>
      <c r="C8" s="294"/>
      <c r="D8" s="294"/>
      <c r="E8" s="294"/>
      <c r="F8" s="294"/>
      <c r="G8" s="50" t="s">
        <v>44</v>
      </c>
      <c r="H8" s="50" t="s">
        <v>45</v>
      </c>
      <c r="I8" s="50" t="s">
        <v>46</v>
      </c>
      <c r="J8" s="50" t="s">
        <v>47</v>
      </c>
      <c r="K8" s="50" t="s">
        <v>48</v>
      </c>
      <c r="N8" s="36"/>
    </row>
    <row r="9" ht="15.75" customHeight="1">
      <c r="B9" s="317" t="s">
        <v>146</v>
      </c>
      <c r="C9" s="317"/>
      <c r="D9" s="317"/>
      <c r="E9" s="317"/>
      <c r="F9" s="317"/>
      <c r="G9" s="51"/>
      <c r="H9" s="51"/>
      <c r="I9" s="51"/>
      <c r="J9" s="51"/>
      <c r="K9" s="26"/>
    </row>
    <row r="10" ht="15.75" customHeight="1">
      <c r="C10" s="326" t="s">
        <v>147</v>
      </c>
      <c r="D10" s="326"/>
      <c r="E10" s="326"/>
      <c r="F10" s="326"/>
      <c r="G10" s="27">
        <v>3552838</v>
      </c>
      <c r="H10" s="27">
        <v>4321120</v>
      </c>
      <c r="I10" s="27">
        <v>5119181</v>
      </c>
      <c r="J10" s="27">
        <v>5727688</v>
      </c>
      <c r="K10" s="27">
        <v>6005243</v>
      </c>
      <c r="N10" s="19"/>
    </row>
    <row r="11" ht="15.75" customHeight="1">
      <c r="C11" s="326" t="s">
        <v>148</v>
      </c>
      <c r="D11" s="326"/>
      <c r="E11" s="326"/>
      <c r="F11" s="326"/>
      <c r="G11" s="27">
        <v>450860</v>
      </c>
      <c r="H11" s="27">
        <v>498861</v>
      </c>
      <c r="I11" s="27">
        <v>571759</v>
      </c>
      <c r="J11" s="27">
        <v>669776</v>
      </c>
      <c r="K11" s="27">
        <v>819551</v>
      </c>
    </row>
    <row r="12" ht="15.75" customHeight="1">
      <c r="C12" s="326" t="s">
        <v>149</v>
      </c>
      <c r="D12" s="326"/>
      <c r="E12" s="326"/>
      <c r="F12" s="326"/>
      <c r="G12" s="27">
        <v>267196</v>
      </c>
      <c r="H12" s="27">
        <v>275273</v>
      </c>
      <c r="I12" s="26">
        <v>279206</v>
      </c>
      <c r="J12" s="27">
        <v>279204</v>
      </c>
      <c r="K12" s="27">
        <v>320974</v>
      </c>
    </row>
    <row r="13" ht="15.75" customHeight="1">
      <c r="B13" s="36" t="s">
        <v>150</v>
      </c>
      <c r="C13" s="52"/>
      <c r="D13" s="52"/>
      <c r="E13" s="52"/>
      <c r="F13" s="52"/>
      <c r="G13" s="31" t="n">
        <f>SUM(G10:G12)</f>
        <v>4270894</v>
      </c>
      <c r="H13" s="31" t="n">
        <f>SUM(H10:H12)</f>
        <v>5095254</v>
      </c>
      <c r="I13" s="31" t="n">
        <f>SUM(I10:I12)</f>
        <v>5970146</v>
      </c>
      <c r="J13" s="31" t="n">
        <f>SUM(J10:J12)</f>
        <v>6676668</v>
      </c>
      <c r="K13" s="31" t="n">
        <f>SUM(K10:K12)</f>
        <v>7145768</v>
      </c>
    </row>
    <row r="14" ht="15.75" customHeight="1">
      <c r="B14" s="316"/>
      <c r="C14" s="316"/>
      <c r="D14" s="316"/>
      <c r="E14" s="316"/>
      <c r="F14" s="316"/>
      <c r="G14" s="31"/>
      <c r="H14" s="31"/>
      <c r="I14" s="31"/>
      <c r="J14" s="31"/>
      <c r="K14" s="31"/>
    </row>
    <row r="15" ht="15.75" customHeight="1">
      <c r="B15" s="36" t="s">
        <v>151</v>
      </c>
      <c r="G15" s="27"/>
      <c r="H15" s="27"/>
      <c r="I15" s="27"/>
      <c r="J15" s="27"/>
      <c r="K15" s="27"/>
    </row>
    <row r="16" ht="15.75" customHeight="1">
      <c r="B16" s="12"/>
      <c r="C16" s="19" t="s">
        <v>147</v>
      </c>
      <c r="G16" s="53" t="n">
        <f t="shared" ref="G16:K18" si="0">G10/G$13</f>
        <v>0.8318722028690012</v>
      </c>
      <c r="H16" s="53">
        <f t="shared" si="0"/>
        <v>0.84806763313467792</v>
      </c>
      <c r="I16" s="53">
        <f t="shared" si="0"/>
        <v>0.85746328481749023</v>
      </c>
      <c r="J16" s="53">
        <f t="shared" si="0"/>
        <v>0.85786622908312948</v>
      </c>
      <c r="K16" s="53">
        <f t="shared" si="0"/>
        <v>0.84039154363813662</v>
      </c>
    </row>
    <row r="17" ht="15.75" customHeight="1">
      <c r="C17" s="19" t="s">
        <v>148</v>
      </c>
      <c r="G17" s="53">
        <f t="shared" si="0"/>
        <v>0.1055657199640169</v>
      </c>
      <c r="H17" s="53">
        <f t="shared" si="0"/>
        <v>9.7906993449198024E-2</v>
      </c>
      <c r="I17" s="53">
        <f t="shared" si="0"/>
        <v>9.5769684694478163E-2</v>
      </c>
      <c r="J17" s="53">
        <f t="shared" si="0"/>
        <v>0.10031590607770223</v>
      </c>
      <c r="K17" s="53">
        <f t="shared" si="0"/>
        <v>0.11469040136763466</v>
      </c>
    </row>
    <row r="18" ht="15.75" customHeight="1">
      <c r="B18" s="12"/>
      <c r="C18" s="19" t="s">
        <v>152</v>
      </c>
      <c r="G18" s="53">
        <f t="shared" si="0"/>
        <v>6.2562077166981908E-2</v>
      </c>
      <c r="H18" s="53">
        <f t="shared" si="0"/>
        <v>5.4025373416124102E-2</v>
      </c>
      <c r="I18" s="53">
        <f t="shared" si="0"/>
        <v>4.6767030488031616E-2</v>
      </c>
      <c r="J18" s="53">
        <f t="shared" si="0"/>
        <v>4.181786483916828E-2</v>
      </c>
      <c r="K18" s="53">
        <f t="shared" si="0"/>
        <v>4.4918054994228754E-2</v>
      </c>
    </row>
    <row r="19" ht="15.75" customHeight="1">
      <c r="B19" s="36" t="s">
        <v>153</v>
      </c>
      <c r="C19" s="36"/>
      <c r="G19" s="33"/>
      <c r="H19" s="54" t="n">
        <f>H13/G13-1</f>
        <v>0.19301813624969388</v>
      </c>
      <c r="I19" s="54" t="n">
        <f>I13/H13-1</f>
        <v>0.17170723971758828</v>
      </c>
      <c r="J19" s="54" t="n">
        <f>J13/I13-1</f>
        <v>0.1183424994966622</v>
      </c>
      <c r="K19" s="54" t="n">
        <f>K13/J13-1</f>
        <v>0.07025959655325087</v>
      </c>
    </row>
    <row r="20" ht="15.75" customHeight="1">
      <c r="G20" s="33"/>
      <c r="H20" s="33"/>
      <c r="I20" s="33"/>
      <c r="J20" s="33"/>
      <c r="K20" s="33"/>
    </row>
    <row r="21" ht="15.75" customHeight="1">
      <c r="B21" s="36" t="s">
        <v>154</v>
      </c>
      <c r="G21" s="33"/>
      <c r="H21" s="33"/>
      <c r="I21" s="33"/>
      <c r="J21" s="33"/>
      <c r="K21" s="33"/>
    </row>
    <row r="22" ht="15.75" customHeight="1">
      <c r="C22" s="19" t="s">
        <v>155</v>
      </c>
      <c r="G22" s="27">
        <v>55043</v>
      </c>
      <c r="H22" s="27">
        <v>69389</v>
      </c>
      <c r="I22" s="27">
        <v>99661</v>
      </c>
      <c r="J22" s="27">
        <v>130406</v>
      </c>
      <c r="K22" s="27">
        <v>141939</v>
      </c>
      <c r="N22" s="19"/>
    </row>
    <row r="23" ht="15.75" customHeight="1">
      <c r="C23" s="19" t="s">
        <v>156</v>
      </c>
      <c r="G23" s="53" t="n">
        <f>G22/G13</f>
        <v>0.012887934001639938</v>
      </c>
      <c r="H23" s="53" t="n">
        <f>H22/H13</f>
        <v>0.013618359359513775</v>
      </c>
      <c r="I23" s="53" t="n">
        <f>I22/I13</f>
        <v>0.016693226597808496</v>
      </c>
      <c r="J23" s="53" t="n">
        <f>J22/J13</f>
        <v>0.019531598695636806</v>
      </c>
      <c r="K23" s="53" t="n">
        <f>K22/K13</f>
        <v>0.01986336528138053</v>
      </c>
    </row>
    <row r="24" ht="15.75" customHeight="1">
      <c r="C24" s="19" t="s">
        <v>157</v>
      </c>
      <c r="G24" s="27">
        <v>189432</v>
      </c>
      <c r="H24" s="27">
        <v>155342</v>
      </c>
      <c r="I24" s="27">
        <v>126748</v>
      </c>
      <c r="J24" s="33"/>
      <c r="K24" s="33"/>
      <c r="N24" s="19"/>
    </row>
    <row r="25" ht="15.75" customHeight="1">
      <c r="G25" s="33"/>
      <c r="H25" s="33"/>
      <c r="I25" s="33"/>
      <c r="J25" s="33"/>
      <c r="K25" s="33"/>
    </row>
    <row r="26" ht="15.75" customHeight="1">
      <c r="B26" s="36" t="s">
        <v>158</v>
      </c>
      <c r="G26" s="33"/>
      <c r="H26" s="33"/>
      <c r="I26" s="33"/>
      <c r="J26" s="33"/>
      <c r="K26" s="33"/>
    </row>
    <row r="27" ht="15.75" customHeight="1">
      <c r="C27" s="19" t="s">
        <v>159</v>
      </c>
      <c r="G27" s="27" t="n">
        <f>'Historical Income Statement'!G10</f>
        <v>2080613</v>
      </c>
      <c r="H27" s="27" t="n">
        <f>'Historical Income Statement'!H10</f>
        <v>2648953</v>
      </c>
      <c r="I27" s="27" t="n">
        <f>'Historical Income Statement'!I10</f>
        <v>2995877</v>
      </c>
      <c r="J27" s="27" t="n">
        <f>'Historical Income Statement'!J10</f>
        <v>3329483</v>
      </c>
      <c r="K27" s="27" t="n">
        <f>'Historical Income Statement'!K10</f>
        <v>3452971</v>
      </c>
      <c r="N27" s="19"/>
    </row>
    <row r="28" ht="15.75" customHeight="1">
      <c r="C28" s="19" t="s">
        <v>156</v>
      </c>
      <c r="G28" s="53" t="n">
        <f>G27/G13</f>
        <v>0.48716100188859757</v>
      </c>
      <c r="H28" s="53" t="n">
        <f>H27/H13</f>
        <v>0.5198863491398074</v>
      </c>
      <c r="I28" s="53" t="n">
        <f>I27/I13</f>
        <v>0.5018096709862707</v>
      </c>
      <c r="J28" s="53" t="n">
        <f>J27/J13</f>
        <v>0.49867433875699674</v>
      </c>
      <c r="K28" s="53" t="n">
        <f>K27/K13</f>
        <v>0.483219018585546</v>
      </c>
    </row>
    <row r="29" ht="15.75" customHeight="1">
      <c r="C29" s="19" t="s">
        <v>160</v>
      </c>
      <c r="G29" s="27">
        <v>168466</v>
      </c>
      <c r="H29" s="27">
        <v>226988</v>
      </c>
      <c r="I29" s="27">
        <v>236443</v>
      </c>
      <c r="J29" s="27">
        <v>288538</v>
      </c>
      <c r="K29" s="27">
        <v>349392</v>
      </c>
      <c r="N29" s="19"/>
    </row>
    <row r="30" ht="15.75" customHeight="1">
      <c r="C30" s="19" t="s">
        <v>161</v>
      </c>
      <c r="G30" s="27">
        <v>179558</v>
      </c>
      <c r="H30" s="27">
        <v>200986</v>
      </c>
      <c r="I30" s="27">
        <v>226137</v>
      </c>
      <c r="J30" s="27">
        <v>272606</v>
      </c>
      <c r="K30" s="27">
        <v>293098</v>
      </c>
    </row>
    <row r="31" ht="15.75" customHeight="1">
      <c r="B31" s="36" t="s">
        <v>162</v>
      </c>
      <c r="G31" s="31" t="n">
        <f>SUM(G29:G30)</f>
        <v>348024</v>
      </c>
      <c r="H31" s="31" t="n">
        <f>SUM(H29:H30)</f>
        <v>427974</v>
      </c>
      <c r="I31" s="31" t="n">
        <f>SUM(I29:I30)</f>
        <v>462580</v>
      </c>
      <c r="J31" s="31" t="n">
        <f>SUM(J29:J30)</f>
        <v>561144</v>
      </c>
      <c r="K31" s="31" t="n">
        <f>SUM(K29:K30)</f>
        <v>642490</v>
      </c>
    </row>
    <row r="32" ht="15.75" customHeight="1">
      <c r="C32" s="19" t="s">
        <v>163</v>
      </c>
      <c r="G32" s="53" t="n">
        <f>G31/G13</f>
        <v>0.08148738882304267</v>
      </c>
      <c r="H32" s="53" t="n">
        <f>H31/H13</f>
        <v>0.08399463500740101</v>
      </c>
      <c r="I32" s="53" t="n">
        <f>I31/I13</f>
        <v>0.07748219222779476</v>
      </c>
      <c r="J32" s="53" t="n">
        <f>J31/J13</f>
        <v>0.08404551491851923</v>
      </c>
      <c r="K32" s="53" t="n">
        <f>K31/K13</f>
        <v>0.08991195907843635</v>
      </c>
    </row>
    <row r="33" ht="15.75" customHeight="1">
      <c r="G33" s="33"/>
      <c r="H33" s="33"/>
      <c r="I33" s="33"/>
      <c r="J33" s="33"/>
      <c r="K33" s="33"/>
    </row>
    <row r="34" ht="15.75" customHeight="1">
      <c r="B34" s="36" t="s">
        <v>164</v>
      </c>
      <c r="G34" s="33"/>
      <c r="H34" s="33"/>
      <c r="I34" s="33"/>
      <c r="J34" s="33"/>
      <c r="K34" s="33"/>
    </row>
    <row r="35" ht="15.75" customHeight="1">
      <c r="C35" s="19" t="s">
        <v>165</v>
      </c>
      <c r="G35" s="27" t="n">
        <f>G22</f>
        <v>55043</v>
      </c>
      <c r="H35" s="27" t="n">
        <f>H22</f>
        <v>69389</v>
      </c>
      <c r="I35" s="27" t="n">
        <f>I22</f>
        <v>99661</v>
      </c>
      <c r="J35" s="27" t="n">
        <f>J22</f>
        <v>130406</v>
      </c>
      <c r="K35" s="27" t="n">
        <f>K22</f>
        <v>141939</v>
      </c>
    </row>
    <row r="36" ht="15.75" customHeight="1">
      <c r="C36" s="19" t="s">
        <v>166</v>
      </c>
      <c r="G36" s="27">
        <v>16639</v>
      </c>
      <c r="H36" s="27">
        <v>27145</v>
      </c>
      <c r="I36" s="27">
        <v>60808</v>
      </c>
      <c r="J36" s="27">
        <v>88308</v>
      </c>
      <c r="K36" s="27">
        <v>99206</v>
      </c>
      <c r="N36" s="19"/>
    </row>
    <row r="37" ht="15.75" customHeight="1">
      <c r="B37" s="36" t="s">
        <v>167</v>
      </c>
      <c r="G37" s="31" t="n">
        <f>G35-G36</f>
        <v>38404</v>
      </c>
      <c r="H37" s="31" t="n">
        <f>H35-H36</f>
        <v>42244</v>
      </c>
      <c r="I37" s="31" t="n">
        <f>I35-I36</f>
        <v>38853</v>
      </c>
      <c r="J37" s="31" t="n">
        <f>J35-J36</f>
        <v>42098</v>
      </c>
      <c r="K37" s="31" t="n">
        <f>K35-K36</f>
        <v>42733</v>
      </c>
    </row>
    <row r="38" ht="15.75" customHeight="1">
      <c r="G38" s="33"/>
      <c r="H38" s="33"/>
      <c r="I38" s="33"/>
      <c r="J38" s="33"/>
      <c r="K38" s="33"/>
    </row>
    <row r="39" ht="15.75" customHeight="1">
      <c r="G39" s="33"/>
      <c r="H39" s="33"/>
      <c r="I39" s="33"/>
      <c r="J39" s="33"/>
      <c r="K39" s="33"/>
    </row>
    <row r="40" ht="15.75" customHeight="1">
      <c r="B40" s="36" t="s">
        <v>168</v>
      </c>
      <c r="G40" s="33"/>
      <c r="H40" s="33"/>
      <c r="I40" s="33"/>
      <c r="J40" s="33"/>
      <c r="K40" s="33"/>
    </row>
    <row r="41" ht="15.75" customHeight="1">
      <c r="C41" s="19" t="s">
        <v>169</v>
      </c>
      <c r="G41" s="27">
        <v>573632</v>
      </c>
      <c r="H41" s="27">
        <v>517842</v>
      </c>
      <c r="I41" s="27">
        <v>538903</v>
      </c>
      <c r="J41" s="27">
        <v>563311</v>
      </c>
      <c r="K41" s="27">
        <v>592690</v>
      </c>
      <c r="N41" s="19"/>
    </row>
    <row r="42" ht="15.75" customHeight="1">
      <c r="C42" s="19" t="s">
        <v>170</v>
      </c>
      <c r="G42" s="27">
        <v>194472</v>
      </c>
      <c r="H42" s="27">
        <v>257730</v>
      </c>
      <c r="I42" s="27">
        <v>342656</v>
      </c>
      <c r="J42" s="27">
        <v>330781</v>
      </c>
      <c r="K42" s="27">
        <v>326171</v>
      </c>
    </row>
    <row r="43" ht="15.75" customHeight="1">
      <c r="B43" s="36" t="s">
        <v>171</v>
      </c>
      <c r="G43" s="31" t="n">
        <f>SUM(G41:G42)</f>
        <v>768104</v>
      </c>
      <c r="H43" s="31" t="n">
        <f>SUM(H41:H42)</f>
        <v>775572</v>
      </c>
      <c r="I43" s="31" t="n">
        <f>SUM(I41:I42)</f>
        <v>881559</v>
      </c>
      <c r="J43" s="31" t="n">
        <f>SUM(J41:J42)</f>
        <v>894092</v>
      </c>
      <c r="K43" s="31" t="n">
        <f>SUM(K41:K42)</f>
        <v>918861</v>
      </c>
    </row>
    <row r="44" ht="15.75" customHeight="1">
      <c r="C44" s="19" t="s">
        <v>172</v>
      </c>
      <c r="G44" s="53" t="n">
        <f>G43/G13</f>
        <v>0.17984618677026404</v>
      </c>
      <c r="H44" s="53" t="n">
        <f>H43/H13</f>
        <v>0.15221459028342846</v>
      </c>
      <c r="I44" s="53" t="n">
        <f>I43/I13</f>
        <v>0.14766121297536108</v>
      </c>
      <c r="J44" s="53" t="n">
        <f>J43/J13</f>
        <v>0.1339129038616268</v>
      </c>
      <c r="K44" s="53" t="n">
        <f>K43/K13</f>
        <v>0.12858813776209918</v>
      </c>
    </row>
    <row r="45" ht="15.75" customHeight="1">
      <c r="G45" s="33"/>
      <c r="H45" s="288"/>
      <c r="I45" s="288"/>
      <c r="J45" s="288"/>
      <c r="K45" s="288"/>
    </row>
    <row r="46" ht="15.75" customHeight="1">
      <c r="B46" s="36" t="s">
        <v>173</v>
      </c>
      <c r="G46" s="33"/>
      <c r="H46" s="33"/>
      <c r="I46" s="33"/>
      <c r="J46" s="33"/>
      <c r="K46" s="33"/>
    </row>
    <row r="47" ht="15.75" customHeight="1">
      <c r="C47" s="19" t="s">
        <v>174</v>
      </c>
      <c r="G47" s="27">
        <v>8105</v>
      </c>
      <c r="H47" s="27">
        <v>12446</v>
      </c>
      <c r="I47" s="27">
        <v>10958</v>
      </c>
      <c r="J47" s="27">
        <v>21818</v>
      </c>
      <c r="K47" s="27">
        <v>21188</v>
      </c>
      <c r="N47" s="19"/>
    </row>
    <row r="48" ht="15.75" customHeight="1">
      <c r="C48" s="19" t="s">
        <v>175</v>
      </c>
      <c r="G48" s="27">
        <v>13666</v>
      </c>
      <c r="H48" s="27">
        <v>33994</v>
      </c>
      <c r="I48" s="27">
        <v>29856</v>
      </c>
      <c r="J48" s="27">
        <v>34261</v>
      </c>
      <c r="K48" s="27">
        <v>55490</v>
      </c>
    </row>
    <row r="49" ht="15.75" customHeight="1">
      <c r="B49" s="36" t="s">
        <v>176</v>
      </c>
      <c r="G49" s="31" t="n">
        <f>G48-G47</f>
        <v>5561</v>
      </c>
      <c r="H49" s="31" t="n">
        <f>H48-H47</f>
        <v>21548</v>
      </c>
      <c r="I49" s="31" t="n">
        <f>I48-I47</f>
        <v>18898</v>
      </c>
      <c r="J49" s="31" t="n">
        <f>J48-J47</f>
        <v>12443</v>
      </c>
      <c r="K49" s="31" t="n">
        <f>K48-K47</f>
        <v>34302</v>
      </c>
    </row>
    <row r="50" ht="15.75" customHeight="1">
      <c r="C50" s="19" t="s">
        <v>177</v>
      </c>
      <c r="G50" s="53" t="n">
        <f>G49/'Historical Income Statement'!G17</f>
        <v>0.0036311351721246875</v>
      </c>
      <c r="H50" s="53" t="n">
        <f>H49/'Historical Income Statement'!H17</f>
        <v>0.012149252906647302</v>
      </c>
      <c r="I50" s="53" t="n">
        <f>I49/'Historical Income Statement'!I17</f>
        <v>0.008289781784588498</v>
      </c>
      <c r="J50" s="53" t="n">
        <f>J49/'Historical Income Statement'!J17</f>
        <v>0.0048709585488982705</v>
      </c>
      <c r="K50" s="53" t="n">
        <f>K49/'Historical Income Statement'!K17</f>
        <v>0.012376008107797045</v>
      </c>
    </row>
    <row r="51" ht="15.75" customHeight="1">
      <c r="G51" s="33"/>
      <c r="H51" s="33"/>
      <c r="I51" s="33"/>
      <c r="J51" s="33"/>
      <c r="K51" s="33"/>
    </row>
    <row r="52" ht="15.75" customHeight="1">
      <c r="B52" s="36" t="s">
        <v>178</v>
      </c>
      <c r="G52" s="33"/>
      <c r="H52" s="33"/>
      <c r="I52" s="33"/>
      <c r="J52" s="33"/>
      <c r="K52" s="33"/>
    </row>
    <row r="53" ht="15.75" customHeight="1">
      <c r="C53" s="19" t="s">
        <v>179</v>
      </c>
      <c r="G53" s="27">
        <v>37860</v>
      </c>
      <c r="H53" s="27">
        <v>78674</v>
      </c>
      <c r="I53" s="27">
        <v>91019</v>
      </c>
      <c r="J53" s="27">
        <v>92051</v>
      </c>
      <c r="K53" s="27">
        <v>129070</v>
      </c>
      <c r="N53" s="19"/>
    </row>
    <row r="54" ht="15.75" customHeight="1">
      <c r="C54" s="19" t="s">
        <v>180</v>
      </c>
      <c r="G54" s="27">
        <v>1579</v>
      </c>
      <c r="H54" s="27">
        <v>4150</v>
      </c>
      <c r="I54" s="27">
        <v>25813</v>
      </c>
      <c r="J54" s="27">
        <v>31486</v>
      </c>
      <c r="K54" s="27">
        <v>20416</v>
      </c>
    </row>
    <row r="55" ht="15.75" customHeight="1">
      <c r="C55" s="19" t="s">
        <v>181</v>
      </c>
      <c r="G55" s="27">
        <v>3560</v>
      </c>
      <c r="H55" s="27">
        <v>1034</v>
      </c>
      <c r="I55" s="27">
        <v>15487</v>
      </c>
      <c r="J55" s="27">
        <v>23563</v>
      </c>
      <c r="K55" s="27">
        <v>18659</v>
      </c>
    </row>
    <row r="56" ht="15.75" customHeight="1">
      <c r="B56" s="36" t="s">
        <v>182</v>
      </c>
      <c r="G56" s="31" t="n">
        <f>SUM(G53:G55)</f>
        <v>42999</v>
      </c>
      <c r="H56" s="31" t="n">
        <f>SUM(H53:H55)</f>
        <v>83858</v>
      </c>
      <c r="I56" s="31" t="n">
        <f>SUM(I53:I55)</f>
        <v>132319</v>
      </c>
      <c r="J56" s="31" t="n">
        <f>SUM(J53:J55)</f>
        <v>147100</v>
      </c>
      <c r="K56" s="31" t="n">
        <f>SUM(K53:K55)</f>
        <v>168145</v>
      </c>
    </row>
    <row r="57" ht="15.75" customHeight="1">
      <c r="C57" s="19" t="s">
        <v>183</v>
      </c>
      <c r="G57" s="27">
        <v>49267</v>
      </c>
      <c r="H57" s="27">
        <v>104597</v>
      </c>
      <c r="I57" s="27">
        <v>111216</v>
      </c>
      <c r="J57" s="27">
        <v>99087</v>
      </c>
      <c r="K57" s="27">
        <v>167230</v>
      </c>
    </row>
    <row r="58" ht="15.75" customHeight="1">
      <c r="C58" s="19" t="s">
        <v>184</v>
      </c>
      <c r="G58" s="27">
        <v>23669</v>
      </c>
      <c r="H58" s="27">
        <v>25489</v>
      </c>
      <c r="I58" s="27">
        <v>29258</v>
      </c>
      <c r="J58" s="27">
        <v>40054</v>
      </c>
      <c r="K58" s="27">
        <v>41168</v>
      </c>
    </row>
    <row r="59" ht="15.75" customHeight="1">
      <c r="C59" s="19" t="s">
        <v>185</v>
      </c>
      <c r="G59" s="27">
        <v>3320</v>
      </c>
      <c r="H59" s="27">
        <v>3388</v>
      </c>
      <c r="I59" s="27">
        <v>6860</v>
      </c>
      <c r="J59" s="27">
        <v>6754</v>
      </c>
      <c r="K59" s="27">
        <v>5828</v>
      </c>
    </row>
    <row r="60" ht="15.75" customHeight="1">
      <c r="B60" s="36" t="s">
        <v>186</v>
      </c>
      <c r="G60" s="31" t="n">
        <f>SUM(G57:G59)</f>
        <v>76256</v>
      </c>
      <c r="H60" s="31" t="n">
        <f>SUM(H57:H59)</f>
        <v>133474</v>
      </c>
      <c r="I60" s="31" t="n">
        <f>SUM(I57:I59)</f>
        <v>147334</v>
      </c>
      <c r="J60" s="31" t="n">
        <f>SUM(J57:J59)</f>
        <v>145895</v>
      </c>
      <c r="K60" s="31" t="n">
        <f>SUM(K57:K59)</f>
        <v>214226</v>
      </c>
    </row>
    <row r="61" ht="15.75" customHeight="1">
      <c r="B61" s="36" t="s">
        <v>187</v>
      </c>
      <c r="G61" s="31" t="n">
        <f>G60-G56</f>
        <v>33257</v>
      </c>
      <c r="H61" s="31" t="n">
        <f>H60-H56</f>
        <v>49616</v>
      </c>
      <c r="I61" s="31" t="n">
        <f>I60-I56</f>
        <v>15015</v>
      </c>
      <c r="J61" s="31" t="n">
        <f>J60-J56</f>
        <v>-1205</v>
      </c>
      <c r="K61" s="31" t="n">
        <f>K60-K56</f>
        <v>46081</v>
      </c>
    </row>
    <row r="62" ht="15.75" customHeight="1">
      <c r="C62" s="19" t="s">
        <v>188</v>
      </c>
      <c r="G62" s="33"/>
      <c r="H62" s="33"/>
      <c r="I62" s="27">
        <v>7940</v>
      </c>
      <c r="J62" s="33"/>
      <c r="K62" s="33"/>
    </row>
    <row r="63" ht="15.75" customHeight="1">
      <c r="C63" s="19"/>
      <c r="I63" s="20"/>
    </row>
    <row r="65" ht="15.75" customHeight="1">
      <c r="C65" s="55"/>
      <c r="G65" s="56"/>
      <c r="H65" s="56"/>
      <c r="I65" s="56"/>
      <c r="J65" s="56"/>
      <c r="K65" s="56"/>
    </row>
    <row r="66" ht="15.75" customHeight="1">
      <c r="C66" s="57"/>
      <c r="G66" s="56"/>
      <c r="H66" s="56"/>
      <c r="I66" s="56"/>
      <c r="J66" s="56"/>
      <c r="K66" s="56"/>
    </row>
    <row r="67" ht="15.75" customHeight="1">
      <c r="C67" s="57"/>
      <c r="G67" s="15"/>
      <c r="H67" s="15"/>
      <c r="I67" s="15"/>
      <c r="J67" s="15"/>
      <c r="K67" s="15"/>
    </row>
    <row r="68" ht="15.75" customHeight="1">
      <c r="G68" s="15"/>
      <c r="H68" s="15"/>
      <c r="I68" s="15"/>
      <c r="J68" s="15"/>
      <c r="K68" s="15"/>
    </row>
    <row r="69" ht="15.75" customHeight="1">
      <c r="C69" s="19"/>
      <c r="G69" s="15"/>
      <c r="H69" s="15"/>
      <c r="I69" s="15"/>
      <c r="J69" s="15"/>
      <c r="K69" s="15"/>
    </row>
  </sheetData>
  <mergeCells>
    <mergeCell ref="A1:V3"/>
    <mergeCell ref="A4:H4"/>
    <mergeCell ref="I4:O4"/>
    <mergeCell ref="P4:V4"/>
    <mergeCell ref="A5:V5"/>
    <mergeCell ref="B14:F14"/>
    <mergeCell ref="B8:F8"/>
    <mergeCell ref="B9:F9"/>
    <mergeCell ref="C10:F10"/>
    <mergeCell ref="C11:F11"/>
    <mergeCell ref="C12:F12"/>
  </mergeCells>
  <pageMargins left="0.7" right="0.7" top="0.75" bottom="0.75" header="0.3" footer="0.3"/>
  <drawing r:id="R85c78da4849b4272"/>
</worksheet>
</file>

<file path=xl/worksheets/sheet8.xml><?xml version="1.0" encoding="utf-8"?>
<worksheet xmlns="http://schemas.openxmlformats.org/spreadsheetml/2006/main" xmlns:r="http://schemas.openxmlformats.org/officeDocument/2006/relationships">
  <sheetViews>
    <sheetView showGridLines="0" workbookViewId="0"/>
  </sheetViews>
  <sheetFormatPr baseColWidth="10" defaultColWidth="10.83203125" defaultRowHeight="16"/>
  <cols>
    <col min="1" max="1" width="10.83203125" style="37" customWidth="0"/>
    <col min="2" max="2" width="2" style="37" customWidth="1"/>
    <col min="3" max="6" width="10.83203125" style="37" customWidth="0"/>
    <col min="7" max="7" width="12" style="37" customWidth="1"/>
    <col min="8" max="11" width="11.5" style="37" customWidth="1"/>
    <col min="12" max="22" width="10.83203125" style="37" customWidth="0"/>
    <col min="23" max="25" width="10.83203125" style="38" customWidth="0"/>
    <col min="26" max="26" width="199.83203125" style="38" customWidth="1"/>
    <col min="27" max="16384" width="10.83203125" style="38" customWidth="0"/>
  </cols>
  <sheetData>
    <row r="1" ht="15.75" customHeight="1">
      <c r="A1" s="322" t="s">
        <v>189</v>
      </c>
      <c r="B1" s="322"/>
      <c r="C1" s="322"/>
      <c r="D1" s="322"/>
      <c r="E1" s="322"/>
      <c r="F1" s="322"/>
      <c r="G1" s="322"/>
      <c r="H1" s="322"/>
      <c r="I1" s="322"/>
      <c r="J1" s="322"/>
      <c r="K1" s="322"/>
      <c r="L1" s="322"/>
      <c r="M1" s="322"/>
      <c r="N1" s="322"/>
      <c r="O1" s="322"/>
      <c r="P1" s="322"/>
      <c r="Q1" s="322"/>
      <c r="R1" s="322"/>
      <c r="S1" s="322"/>
      <c r="T1" s="322"/>
      <c r="U1" s="322"/>
      <c r="V1" s="322"/>
    </row>
    <row r="2" ht="15.75" customHeight="1">
      <c r="A2" s="322"/>
      <c r="B2" s="322"/>
      <c r="C2" s="322"/>
      <c r="D2" s="322"/>
      <c r="E2" s="322"/>
      <c r="F2" s="322"/>
      <c r="G2" s="322"/>
      <c r="H2" s="322"/>
      <c r="I2" s="322"/>
      <c r="J2" s="322"/>
      <c r="K2" s="322"/>
      <c r="L2" s="322"/>
      <c r="M2" s="322"/>
      <c r="N2" s="322"/>
      <c r="O2" s="322"/>
      <c r="P2" s="322"/>
      <c r="Q2" s="322"/>
      <c r="R2" s="322"/>
      <c r="S2" s="322"/>
      <c r="T2" s="322"/>
      <c r="U2" s="322"/>
      <c r="V2" s="322"/>
    </row>
    <row r="3" ht="15.75" customHeight="1">
      <c r="A3" s="322"/>
      <c r="B3" s="322"/>
      <c r="C3" s="322"/>
      <c r="D3" s="322"/>
      <c r="E3" s="322"/>
      <c r="F3" s="322"/>
      <c r="G3" s="322"/>
      <c r="H3" s="322"/>
      <c r="I3" s="322"/>
      <c r="J3" s="322"/>
      <c r="K3" s="322"/>
      <c r="L3" s="322"/>
      <c r="M3" s="322"/>
      <c r="N3" s="322"/>
      <c r="O3" s="322"/>
      <c r="P3" s="322"/>
      <c r="Q3" s="322"/>
      <c r="R3" s="322"/>
      <c r="S3" s="322"/>
      <c r="T3" s="322"/>
      <c r="U3" s="322"/>
      <c r="V3" s="322"/>
    </row>
    <row r="4" ht="4.5" customHeight="1">
      <c r="A4" s="323"/>
      <c r="B4" s="323"/>
      <c r="C4" s="323"/>
      <c r="D4" s="323"/>
      <c r="E4" s="323"/>
      <c r="F4" s="323"/>
      <c r="G4" s="323"/>
      <c r="H4" s="323"/>
      <c r="I4" s="319"/>
      <c r="J4" s="319"/>
      <c r="K4" s="319"/>
      <c r="L4" s="319"/>
      <c r="M4" s="319"/>
      <c r="N4" s="319"/>
      <c r="O4" s="319"/>
      <c r="P4" s="324"/>
      <c r="Q4" s="324"/>
      <c r="R4" s="324"/>
      <c r="S4" s="324"/>
      <c r="T4" s="324"/>
      <c r="U4" s="324"/>
      <c r="V4" s="324"/>
    </row>
    <row r="5" ht="1.5" customHeight="1">
      <c r="A5" s="325"/>
      <c r="B5" s="325"/>
      <c r="C5" s="325"/>
      <c r="D5" s="325"/>
      <c r="E5" s="325"/>
      <c r="F5" s="325"/>
      <c r="G5" s="325"/>
      <c r="H5" s="325"/>
      <c r="I5" s="325"/>
      <c r="J5" s="325"/>
      <c r="K5" s="325"/>
      <c r="L5" s="325"/>
      <c r="M5" s="325"/>
      <c r="N5" s="325"/>
      <c r="O5" s="325"/>
      <c r="P5" s="325"/>
      <c r="Q5" s="325"/>
      <c r="R5" s="325"/>
      <c r="S5" s="325"/>
      <c r="T5" s="325"/>
      <c r="U5" s="325"/>
      <c r="V5" s="325"/>
    </row>
    <row r="6" ht="15.75" customHeight="1">
      <c r="U6" s="37" t="s">
        <v>49</v>
      </c>
    </row>
    <row r="7" ht="15.75" customHeight="1"/>
    <row r="8" ht="15.75" customHeight="1">
      <c r="B8" s="319"/>
      <c r="C8" s="319"/>
      <c r="D8" s="319"/>
      <c r="E8" s="319"/>
      <c r="F8" s="319"/>
      <c r="G8" s="40" t="s">
        <v>44</v>
      </c>
      <c r="H8" s="40" t="s">
        <v>45</v>
      </c>
      <c r="I8" s="40" t="s">
        <v>46</v>
      </c>
      <c r="J8" s="40" t="s">
        <v>47</v>
      </c>
      <c r="K8" s="40" t="s">
        <v>48</v>
      </c>
      <c r="N8" s="48"/>
      <c r="Z8" s="327"/>
    </row>
    <row r="9" ht="15.75" customHeight="1">
      <c r="B9" s="328" t="s">
        <v>190</v>
      </c>
      <c r="C9" s="328"/>
      <c r="D9" s="328"/>
      <c r="E9" s="328"/>
      <c r="F9" s="328"/>
      <c r="G9" s="59" t="n">
        <f>'Historical Income Statement'!G17</f>
        <v>1531477</v>
      </c>
      <c r="H9" s="59" t="n">
        <f>'Historical Income Statement'!H17</f>
        <v>1773607</v>
      </c>
      <c r="I9" s="59" t="n">
        <f>'Historical Income Statement'!I17</f>
        <v>2279674</v>
      </c>
      <c r="J9" s="59" t="n">
        <f>'Historical Income Statement'!J17</f>
        <v>2554528</v>
      </c>
      <c r="K9" s="59" t="n">
        <f>'Historical Income Statement'!K17</f>
        <v>2771653</v>
      </c>
      <c r="Z9" s="327"/>
    </row>
    <row r="10" ht="15.75" customHeight="1">
      <c r="C10" s="43" t="s">
        <v>191</v>
      </c>
      <c r="D10" s="43"/>
      <c r="G10" s="42" t="n">
        <f>-'Historical Income Statement'!G14</f>
        <v>-6896</v>
      </c>
      <c r="H10" s="42" t="n">
        <f>-'Historical Income Statement'!H14</f>
        <v>-6175</v>
      </c>
      <c r="I10" s="42" t="n">
        <f>-'Historical Income Statement'!I14</f>
        <v>-6137</v>
      </c>
      <c r="J10" s="42" t="n">
        <f>-'Historical Income Statement'!J14</f>
        <v>-8245</v>
      </c>
      <c r="K10" s="42" t="n">
        <f>-'Historical Income Statement'!K14</f>
        <v>-12572</v>
      </c>
      <c r="N10" s="329"/>
      <c r="O10" s="329"/>
      <c r="P10" s="329"/>
      <c r="Q10" s="329"/>
      <c r="R10" s="329"/>
      <c r="S10" s="329"/>
      <c r="T10" s="329"/>
      <c r="U10" s="329"/>
      <c r="Z10" s="327"/>
    </row>
    <row r="11" ht="15.75" customHeight="1">
      <c r="B11" s="48" t="s">
        <v>192</v>
      </c>
      <c r="G11" s="60" t="n">
        <f>SUM(G10:G10)</f>
        <v>-6896</v>
      </c>
      <c r="H11" s="60" t="n">
        <f>SUM(H10:H10)</f>
        <v>-6175</v>
      </c>
      <c r="I11" s="60" t="n">
        <f>SUM(I10:I10)</f>
        <v>-6137</v>
      </c>
      <c r="J11" s="60" t="n">
        <f>SUM(J10:J10)</f>
        <v>-8245</v>
      </c>
      <c r="K11" s="60" t="n">
        <f>SUM(K10:K10)</f>
        <v>-12572</v>
      </c>
      <c r="N11" s="329"/>
      <c r="O11" s="329"/>
      <c r="P11" s="329"/>
      <c r="Q11" s="329"/>
      <c r="R11" s="329"/>
      <c r="S11" s="329"/>
      <c r="T11" s="329"/>
      <c r="U11" s="329"/>
      <c r="Z11" s="327"/>
    </row>
    <row r="12" ht="15.75" customHeight="1">
      <c r="B12" s="48" t="s">
        <v>193</v>
      </c>
      <c r="G12" s="61" t="n">
        <f>G9+G11</f>
        <v>1524581</v>
      </c>
      <c r="H12" s="61" t="n">
        <f>H9+H11</f>
        <v>1767432</v>
      </c>
      <c r="I12" s="61" t="n">
        <f>I9+I11</f>
        <v>2273537</v>
      </c>
      <c r="J12" s="61" t="n">
        <f>J9+J11</f>
        <v>2546283</v>
      </c>
      <c r="K12" s="61" t="n">
        <f>K9+K11</f>
        <v>2759081</v>
      </c>
      <c r="N12" s="329"/>
      <c r="O12" s="329"/>
      <c r="P12" s="329"/>
      <c r="Q12" s="329"/>
      <c r="R12" s="329"/>
      <c r="S12" s="329"/>
      <c r="T12" s="329"/>
      <c r="U12" s="329"/>
      <c r="Z12" s="327"/>
    </row>
    <row r="13" ht="15.75" customHeight="1">
      <c r="B13" s="48"/>
      <c r="G13" s="42"/>
      <c r="H13" s="42"/>
      <c r="I13" s="42"/>
      <c r="J13" s="42"/>
      <c r="K13" s="42"/>
      <c r="N13" s="329"/>
      <c r="O13" s="329"/>
      <c r="P13" s="329"/>
      <c r="Q13" s="329"/>
      <c r="R13" s="329"/>
      <c r="S13" s="329"/>
      <c r="T13" s="329"/>
      <c r="U13" s="329"/>
      <c r="Z13" s="327"/>
    </row>
    <row r="14" ht="15.75" customHeight="1">
      <c r="B14" s="58"/>
      <c r="G14" s="61"/>
      <c r="H14" s="61"/>
      <c r="I14" s="61"/>
      <c r="J14" s="61"/>
      <c r="K14" s="61"/>
      <c r="N14" s="329"/>
      <c r="O14" s="329"/>
      <c r="P14" s="329"/>
      <c r="Q14" s="329"/>
      <c r="R14" s="329"/>
      <c r="S14" s="329"/>
      <c r="T14" s="329"/>
      <c r="U14" s="329"/>
      <c r="Z14" s="327"/>
    </row>
    <row r="15" ht="15.75" customHeight="1">
      <c r="B15" s="58" t="s">
        <v>194</v>
      </c>
      <c r="C15" s="58"/>
      <c r="D15" s="58"/>
      <c r="E15" s="58"/>
      <c r="F15" s="58"/>
      <c r="G15" s="62" t="n">
        <f>'Historical Income Statement'!G15</f>
        <v>1075488</v>
      </c>
      <c r="H15" s="62" t="n">
        <f>'Historical Income Statement'!H15</f>
        <v>1227382</v>
      </c>
      <c r="I15" s="62" t="n">
        <f>'Historical Income Statement'!I15</f>
        <v>1617369</v>
      </c>
      <c r="J15" s="62" t="n">
        <f>'Historical Income Statement'!J15</f>
        <v>1887751</v>
      </c>
      <c r="K15" s="62" t="n">
        <f>'Historical Income Statement'!K15</f>
        <v>2109716</v>
      </c>
      <c r="Z15" s="327"/>
    </row>
    <row r="16" ht="15.75" customHeight="1">
      <c r="C16" s="37" t="s">
        <v>195</v>
      </c>
      <c r="G16" s="63" t="n">
        <f>G11</f>
        <v>-6896</v>
      </c>
      <c r="H16" s="63" t="n">
        <f>H11</f>
        <v>-6175</v>
      </c>
      <c r="I16" s="63" t="n">
        <f>I11</f>
        <v>-6137</v>
      </c>
      <c r="J16" s="63" t="n">
        <f>J11</f>
        <v>-8245</v>
      </c>
      <c r="K16" s="63" t="n">
        <f>K11</f>
        <v>-12572</v>
      </c>
      <c r="Z16" s="327"/>
    </row>
    <row r="17" ht="15.75" customHeight="1">
      <c r="B17" s="48" t="s">
        <v>196</v>
      </c>
      <c r="G17" s="62" t="n">
        <f>G15+G16</f>
        <v>1068592</v>
      </c>
      <c r="H17" s="62" t="n">
        <f>H15+H16</f>
        <v>1221207</v>
      </c>
      <c r="I17" s="62" t="n">
        <f>I15+I16</f>
        <v>1611232</v>
      </c>
      <c r="J17" s="62" t="n">
        <f>J15+J16</f>
        <v>1879506</v>
      </c>
      <c r="K17" s="62" t="n">
        <f>K15+K16</f>
        <v>2097144</v>
      </c>
      <c r="Z17" s="327"/>
    </row>
    <row r="18" ht="15.75" customHeight="1">
      <c r="G18" s="44"/>
      <c r="H18" s="44"/>
      <c r="I18" s="44"/>
      <c r="J18" s="44"/>
      <c r="K18" s="44"/>
      <c r="Z18" s="327"/>
    </row>
    <row r="19" ht="15.75" customHeight="1">
      <c r="G19" s="44"/>
      <c r="H19" s="44"/>
      <c r="I19" s="44"/>
      <c r="J19" s="44"/>
      <c r="K19" s="44"/>
      <c r="Z19" s="327"/>
    </row>
    <row r="20" ht="15.75" customHeight="1">
      <c r="B20" s="58" t="s">
        <v>197</v>
      </c>
      <c r="G20" s="62" t="n">
        <f>'Historical Income Statement'!G21</f>
        <v>833136</v>
      </c>
      <c r="H20" s="62" t="n">
        <f>'Historical Income Statement'!H21</f>
        <v>939294</v>
      </c>
      <c r="I20" s="62" t="n">
        <f>'Historical Income Statement'!I21</f>
        <v>1257457</v>
      </c>
      <c r="J20" s="62" t="n">
        <f>'Historical Income Statement'!J21</f>
        <v>1525913</v>
      </c>
      <c r="K20" s="62" t="n">
        <f>'Historical Income Statement'!K21</f>
        <v>1599516</v>
      </c>
      <c r="Z20" s="327"/>
    </row>
    <row r="21" ht="15.75" customHeight="1">
      <c r="C21" s="43" t="s">
        <v>198</v>
      </c>
      <c r="G21" s="42" t="n">
        <f>-'Historical Income Statement'!G14</f>
        <v>-6896</v>
      </c>
      <c r="H21" s="42" t="n">
        <f>-'Historical Income Statement'!H14</f>
        <v>-6175</v>
      </c>
      <c r="I21" s="42" t="n">
        <f>-'Historical Income Statement'!I14</f>
        <v>-6137</v>
      </c>
      <c r="J21" s="42" t="n">
        <f>-'Historical Income Statement'!J14</f>
        <v>-8245</v>
      </c>
      <c r="K21" s="42" t="n">
        <f>-'Historical Income Statement'!K14</f>
        <v>-12572</v>
      </c>
      <c r="Z21" s="327"/>
    </row>
    <row r="22" ht="15.75" customHeight="1">
      <c r="C22" s="43" t="s">
        <v>199</v>
      </c>
      <c r="G22" s="44"/>
      <c r="H22" s="44"/>
      <c r="I22" s="42" t="n">
        <f>-7940*(1-'Historical Income Statement'!I20/'Historical Income Statement'!I19)</f>
        <v>-6230.96305810077</v>
      </c>
      <c r="J22" s="44"/>
      <c r="K22" s="44"/>
      <c r="Z22" s="327"/>
    </row>
    <row r="23" ht="15.75" customHeight="1">
      <c r="B23" s="58" t="s">
        <v>192</v>
      </c>
      <c r="G23" s="60" t="n">
        <f>SUM(G21:G22)</f>
        <v>-6896</v>
      </c>
      <c r="H23" s="60" t="n">
        <f>SUM(H21:H22)</f>
        <v>-6175</v>
      </c>
      <c r="I23" s="60" t="n">
        <f>SUM(I21:I22)</f>
        <v>-12367.96305810077</v>
      </c>
      <c r="J23" s="60" t="n">
        <f>SUM(J21:J22)</f>
        <v>-8245</v>
      </c>
      <c r="K23" s="60" t="n">
        <f>SUM(K21:K22)</f>
        <v>-12572</v>
      </c>
      <c r="Z23" s="327"/>
    </row>
    <row r="24" ht="15.75" customHeight="1">
      <c r="B24" s="58" t="s">
        <v>200</v>
      </c>
      <c r="E24" s="64"/>
      <c r="F24" s="64"/>
      <c r="G24" s="61" t="n">
        <f>G20+G23</f>
        <v>826240</v>
      </c>
      <c r="H24" s="61" t="n">
        <f>H20+H23</f>
        <v>933119</v>
      </c>
      <c r="I24" s="61" t="n">
        <f>I20+I23</f>
        <v>1245089.0369418992</v>
      </c>
      <c r="J24" s="61" t="n">
        <f>J20+J23</f>
        <v>1517668</v>
      </c>
      <c r="K24" s="61" t="n">
        <f>K20+K23</f>
        <v>1586944</v>
      </c>
      <c r="Z24" s="327"/>
    </row>
    <row r="25" ht="15.75" customHeight="1">
      <c r="Z25" s="327"/>
    </row>
    <row r="36" ht="15.75" customHeight="1">
      <c r="J36" s="329"/>
      <c r="K36" s="329"/>
      <c r="L36" s="329"/>
      <c r="M36" s="329"/>
      <c r="N36" s="329"/>
      <c r="O36" s="329"/>
      <c r="P36" s="329"/>
      <c r="Q36" s="329"/>
    </row>
    <row r="37" ht="15.75" customHeight="1">
      <c r="J37" s="329"/>
      <c r="K37" s="329"/>
      <c r="L37" s="329"/>
      <c r="M37" s="329"/>
      <c r="N37" s="329"/>
      <c r="O37" s="329"/>
      <c r="P37" s="329"/>
      <c r="Q37" s="329"/>
    </row>
    <row r="38" ht="15.75" customHeight="1">
      <c r="J38" s="329"/>
      <c r="K38" s="329"/>
      <c r="L38" s="329"/>
      <c r="M38" s="329"/>
      <c r="N38" s="329"/>
      <c r="O38" s="329"/>
      <c r="P38" s="329"/>
      <c r="Q38" s="329"/>
    </row>
    <row r="39" ht="15.75" customHeight="1">
      <c r="J39" s="329"/>
      <c r="K39" s="329"/>
      <c r="L39" s="329"/>
      <c r="M39" s="329"/>
      <c r="N39" s="329"/>
      <c r="O39" s="329"/>
      <c r="P39" s="329"/>
      <c r="Q39" s="329"/>
    </row>
    <row r="40" ht="15.75" customHeight="1">
      <c r="J40" s="329"/>
      <c r="K40" s="329"/>
      <c r="L40" s="329"/>
      <c r="M40" s="329"/>
      <c r="N40" s="329"/>
      <c r="O40" s="329"/>
      <c r="P40" s="329"/>
      <c r="Q40" s="329"/>
    </row>
    <row r="43" ht="15.75" customHeight="1">
      <c r="J43" s="37" t="s">
        <v>201</v>
      </c>
    </row>
    <row r="44" ht="15.75" customHeight="1">
      <c r="J44" s="37" t="s">
        <v>202</v>
      </c>
    </row>
  </sheetData>
  <mergeCells>
    <mergeCell ref="A1:V3"/>
    <mergeCell ref="A4:H4"/>
    <mergeCell ref="I4:O4"/>
    <mergeCell ref="P4:V4"/>
    <mergeCell ref="A5:V5"/>
    <mergeCell ref="B8:F8"/>
    <mergeCell ref="Z8:Z25"/>
    <mergeCell ref="B9:F9"/>
    <mergeCell ref="N10:U14"/>
    <mergeCell ref="J36:Q40"/>
  </mergeCells>
  <pageMargins left="0.7" right="0.7" top="0.75" bottom="0.75" header="0.3" footer="0.3"/>
  <drawing r:id="R276bfd5973e1421b"/>
</worksheet>
</file>

<file path=xl/worksheets/sheet9.xml><?xml version="1.0" encoding="utf-8"?>
<worksheet xmlns="http://schemas.openxmlformats.org/spreadsheetml/2006/main" xmlns:r="http://schemas.openxmlformats.org/officeDocument/2006/relationships">
  <sheetFormatPr baseColWidth="10" defaultColWidth="10.5" defaultRowHeight="16"/>
  <cols>
    <col min="1" max="1" width="10.83203125" style="11" customWidth="1"/>
    <col min="2" max="2" width="1.6640625" style="11" customWidth="1"/>
    <col min="3" max="5" width="10.83203125" style="11" customWidth="1"/>
    <col min="6" max="6" width="33.5" style="11" customWidth="1"/>
    <col min="7" max="17" width="10.83203125" style="11" customWidth="1"/>
    <col min="18" max="18" width="19.5" style="11" customWidth="1"/>
    <col min="19" max="20" width="10.83203125" style="11" customWidth="1"/>
    <col min="21" max="21" width="11" style="11" customWidth="1"/>
  </cols>
  <sheetData>
    <row r="1" ht="15.75" customHeight="1">
      <c r="A1" s="318" t="s">
        <v>203</v>
      </c>
      <c r="B1" s="318"/>
      <c r="C1" s="318"/>
      <c r="D1" s="318"/>
      <c r="E1" s="318"/>
      <c r="F1" s="318"/>
      <c r="G1" s="318"/>
      <c r="H1" s="318"/>
      <c r="I1" s="318"/>
      <c r="J1" s="318"/>
      <c r="K1" s="318"/>
      <c r="L1" s="318"/>
      <c r="M1" s="318"/>
      <c r="N1" s="318"/>
      <c r="O1" s="318"/>
      <c r="P1" s="318"/>
      <c r="Q1" s="318"/>
      <c r="R1" s="318"/>
      <c r="S1" s="318"/>
      <c r="T1" s="318"/>
      <c r="U1" s="318"/>
    </row>
    <row r="2" ht="15.75" customHeight="1">
      <c r="A2" s="318"/>
      <c r="B2" s="318"/>
      <c r="C2" s="318"/>
      <c r="D2" s="318"/>
      <c r="E2" s="318"/>
      <c r="F2" s="318"/>
      <c r="G2" s="318"/>
      <c r="H2" s="318"/>
      <c r="I2" s="318"/>
      <c r="J2" s="318"/>
      <c r="K2" s="318"/>
      <c r="L2" s="318"/>
      <c r="M2" s="318"/>
      <c r="N2" s="318"/>
      <c r="O2" s="318"/>
      <c r="P2" s="318"/>
      <c r="Q2" s="318"/>
      <c r="R2" s="318"/>
      <c r="S2" s="318"/>
      <c r="T2" s="318"/>
      <c r="U2" s="318"/>
    </row>
    <row r="3" ht="15.75" customHeight="1">
      <c r="A3" s="318"/>
      <c r="B3" s="318"/>
      <c r="C3" s="318"/>
      <c r="D3" s="318"/>
      <c r="E3" s="318"/>
      <c r="F3" s="318"/>
      <c r="G3" s="318"/>
      <c r="H3" s="318"/>
      <c r="I3" s="318"/>
      <c r="J3" s="318"/>
      <c r="K3" s="318"/>
      <c r="L3" s="318"/>
      <c r="M3" s="318"/>
      <c r="N3" s="318"/>
      <c r="O3" s="318"/>
      <c r="P3" s="318"/>
      <c r="Q3" s="318"/>
      <c r="R3" s="318"/>
      <c r="S3" s="318"/>
      <c r="T3" s="318"/>
      <c r="U3" s="318"/>
    </row>
    <row r="4" ht="4.5" customHeight="1">
      <c r="A4" s="308"/>
      <c r="B4" s="308"/>
      <c r="C4" s="308"/>
      <c r="D4" s="308"/>
      <c r="E4" s="308"/>
      <c r="F4" s="308"/>
      <c r="G4" s="308"/>
      <c r="H4" s="294"/>
      <c r="I4" s="294"/>
      <c r="J4" s="294"/>
      <c r="K4" s="294"/>
      <c r="L4" s="294"/>
      <c r="M4" s="294"/>
      <c r="N4" s="294"/>
      <c r="O4" s="309"/>
      <c r="P4" s="309"/>
      <c r="Q4" s="309"/>
      <c r="R4" s="309"/>
      <c r="S4" s="309"/>
      <c r="T4" s="309"/>
      <c r="U4" s="309"/>
    </row>
    <row r="5" ht="1.5" customHeight="1">
      <c r="A5" s="312"/>
      <c r="B5" s="312"/>
      <c r="C5" s="312"/>
      <c r="D5" s="312"/>
      <c r="E5" s="312"/>
      <c r="F5" s="312"/>
      <c r="G5" s="312"/>
      <c r="H5" s="312"/>
      <c r="I5" s="312"/>
      <c r="J5" s="312"/>
      <c r="K5" s="312"/>
      <c r="L5" s="312"/>
      <c r="M5" s="312"/>
      <c r="N5" s="312"/>
      <c r="O5" s="312"/>
      <c r="P5" s="312"/>
      <c r="Q5" s="312"/>
      <c r="R5" s="312"/>
      <c r="S5" s="312"/>
      <c r="T5" s="312"/>
      <c r="U5" s="312"/>
    </row>
    <row r="6" ht="15.75" customHeight="1">
      <c r="A6" s="11" t="s">
        <v>204</v>
      </c>
      <c r="U6" s="11" t="s">
        <v>49</v>
      </c>
    </row>
    <row r="7">
      <c r="K7" s="140"/>
    </row>
    <row r="8" ht="15.75" customHeight="1">
      <c r="B8" s="294"/>
      <c r="C8" s="294"/>
      <c r="D8" s="294"/>
      <c r="E8" s="294"/>
      <c r="F8" s="294"/>
      <c r="G8" s="286" t="s">
        <v>44</v>
      </c>
      <c r="H8" s="286" t="s">
        <v>45</v>
      </c>
      <c r="I8" s="286" t="s">
        <v>46</v>
      </c>
      <c r="J8" s="286" t="s">
        <v>47</v>
      </c>
      <c r="K8" s="286" t="s">
        <v>48</v>
      </c>
    </row>
    <row r="9" ht="15.75" customHeight="1">
      <c r="B9" s="21" t="s">
        <v>205</v>
      </c>
      <c r="G9" s="177"/>
      <c r="H9" s="177"/>
      <c r="I9" s="177"/>
      <c r="J9" s="177"/>
      <c r="K9" s="177"/>
    </row>
    <row r="10" ht="15.75" customHeight="1">
      <c r="C10" s="34" t="s">
        <v>81</v>
      </c>
      <c r="G10" s="42" t="n">
        <f>'Balance Sheet'!G17</f>
        <v>185000</v>
      </c>
      <c r="H10" s="42" t="n">
        <f>'Balance Sheet'!H17</f>
        <v>232414</v>
      </c>
      <c r="I10" s="42" t="n">
        <f>'Balance Sheet'!I17</f>
        <v>261380</v>
      </c>
      <c r="J10" s="42" t="n">
        <f>'Balance Sheet'!J17</f>
        <v>349176</v>
      </c>
      <c r="K10" s="42" t="n">
        <f>'Balance Sheet'!K17</f>
        <v>360339</v>
      </c>
    </row>
    <row r="11" ht="15.75" customHeight="1">
      <c r="C11" s="34" t="s">
        <v>80</v>
      </c>
      <c r="G11" s="42" t="n">
        <f>'Balance Sheet'!G16</f>
        <v>540575</v>
      </c>
      <c r="H11" s="42" t="n">
        <f>'Balance Sheet'!H16</f>
        <v>674662</v>
      </c>
      <c r="I11" s="42" t="n">
        <f>'Balance Sheet'!I16</f>
        <v>948514</v>
      </c>
      <c r="J11" s="42" t="n">
        <f>'Balance Sheet'!J16</f>
        <v>1088194</v>
      </c>
      <c r="K11" s="42" t="n">
        <f>'Balance Sheet'!K16</f>
        <v>1113904</v>
      </c>
    </row>
    <row r="12" ht="15.75" customHeight="1">
      <c r="C12" s="34" t="s">
        <v>83</v>
      </c>
      <c r="G12" s="42" t="n">
        <f>'Balance Sheet'!G19</f>
        <v>14306</v>
      </c>
      <c r="H12" s="42" t="n">
        <f>'Balance Sheet'!H19</f>
        <v>16054</v>
      </c>
      <c r="I12" s="42" t="n">
        <f>'Balance Sheet'!I19</f>
        <v>11616</v>
      </c>
      <c r="J12" s="42" t="n">
        <f>'Balance Sheet'!J19</f>
        <v>15918</v>
      </c>
      <c r="K12" s="42" t="n">
        <f>'Balance Sheet'!K19</f>
        <v>31715</v>
      </c>
    </row>
    <row r="13" ht="15.75" customHeight="1">
      <c r="C13" s="34" t="s">
        <v>84</v>
      </c>
      <c r="G13" s="42" t="n">
        <f>'Balance Sheet'!G20</f>
        <v>122224</v>
      </c>
      <c r="H13" s="42" t="n">
        <f>'Balance Sheet'!H20</f>
        <v>153183</v>
      </c>
      <c r="I13" s="42" t="n">
        <f>'Balance Sheet'!I20</f>
        <v>130228</v>
      </c>
      <c r="J13" s="42" t="n">
        <f>'Balance Sheet'!J20</f>
        <v>137763</v>
      </c>
      <c r="K13" s="42" t="n">
        <f>'Balance Sheet'!K20</f>
        <v>159223</v>
      </c>
    </row>
    <row r="14" ht="15.75" customHeight="1">
      <c r="C14" s="34" t="s">
        <v>206</v>
      </c>
      <c r="G14" s="42" t="n">
        <f>-'Balance Sheet'!G36</f>
        <v>-797832</v>
      </c>
      <c r="H14" s="42" t="n">
        <f>-'Balance Sheet'!H36</f>
        <v>-902968</v>
      </c>
      <c r="I14" s="42" t="n">
        <f>-'Balance Sheet'!I36</f>
        <v>-930560</v>
      </c>
      <c r="J14" s="42" t="n">
        <f>-'Balance Sheet'!J36</f>
        <v>-945657</v>
      </c>
      <c r="K14" s="42" t="n">
        <f>-'Balance Sheet'!K36</f>
        <v>-841256</v>
      </c>
    </row>
    <row r="15" ht="15.75" customHeight="1">
      <c r="C15" s="34" t="s">
        <v>207</v>
      </c>
      <c r="G15" s="42" t="n">
        <f>-CCC!G28</f>
        <v>-240696</v>
      </c>
      <c r="H15" s="42" t="n">
        <f>-CCC!H28</f>
        <v>-451166</v>
      </c>
      <c r="I15" s="42" t="n">
        <f>-CCC!I28</f>
        <v>-516096</v>
      </c>
      <c r="J15" s="42" t="n">
        <f>-CCC!J28</f>
        <v>-553771</v>
      </c>
      <c r="K15" s="42" t="n">
        <f>-CCC!K28</f>
        <v>-774535</v>
      </c>
    </row>
    <row r="16" ht="15.75" customHeight="1">
      <c r="C16" s="34" t="s">
        <v>208</v>
      </c>
      <c r="G16" s="42" t="n">
        <f>-('Balance Sheet'!G34-CCC!G28)</f>
        <v>-486079</v>
      </c>
      <c r="H16" s="42" t="n">
        <f>-('Balance Sheet'!H34-CCC!H28)</f>
        <v>-500859</v>
      </c>
      <c r="I16" s="42" t="n">
        <f>-('Balance Sheet'!I34-CCC!I28)</f>
        <v>-506871</v>
      </c>
      <c r="J16" s="42" t="n">
        <f>-('Balance Sheet'!J34-CCC!J28)</f>
        <v>-552450</v>
      </c>
      <c r="K16" s="42" t="n">
        <f>-('Balance Sheet'!K34-CCC!K28)</f>
        <v>-617081</v>
      </c>
    </row>
    <row r="17" ht="15.75" customHeight="1">
      <c r="C17" s="34" t="s">
        <v>209</v>
      </c>
      <c r="G17" s="42" t="n">
        <f>-'Balance Sheet'!G37</f>
        <v>-112910</v>
      </c>
      <c r="H17" s="42" t="n">
        <f>-'Balance Sheet'!H37</f>
        <v>-58563</v>
      </c>
      <c r="I17" s="42" t="n">
        <f>-'Balance Sheet'!I37</f>
        <v>-89271</v>
      </c>
      <c r="J17" s="42" t="n">
        <f>-'Balance Sheet'!J37</f>
        <v>-37873</v>
      </c>
      <c r="K17" s="42" t="n">
        <f>-'Balance Sheet'!K37</f>
        <v>-4951</v>
      </c>
    </row>
    <row r="18" ht="15.75" customHeight="1">
      <c r="B18" s="35" t="s">
        <v>210</v>
      </c>
      <c r="G18" s="49" t="n">
        <f>SUM(G10:G17)</f>
        <v>-775412</v>
      </c>
      <c r="H18" s="49" t="n">
        <f>SUM(H10:H17)</f>
        <v>-837243</v>
      </c>
      <c r="I18" s="49" t="n">
        <f>SUM(I10:I17)</f>
        <v>-691060</v>
      </c>
      <c r="J18" s="49" t="n">
        <f>SUM(J10:J17)</f>
        <v>-498700</v>
      </c>
      <c r="K18" s="49" t="n">
        <f>SUM(K10:K17)</f>
        <v>-572642</v>
      </c>
      <c r="M18" s="34"/>
    </row>
    <row r="19">
      <c r="G19" s="177"/>
      <c r="H19" s="177"/>
      <c r="I19" s="177"/>
      <c r="J19" s="177"/>
      <c r="K19" s="177"/>
    </row>
    <row r="20" ht="15.75" customHeight="1">
      <c r="C20" s="34" t="s">
        <v>74</v>
      </c>
      <c r="G20" s="42" t="n">
        <f>'Balance Sheet'!G10</f>
        <v>785182</v>
      </c>
      <c r="H20" s="42" t="n">
        <f>'Balance Sheet'!H10</f>
        <v>785182</v>
      </c>
      <c r="I20" s="42" t="n">
        <f>'Balance Sheet'!I10</f>
        <v>785182</v>
      </c>
      <c r="J20" s="42" t="n">
        <f>'Balance Sheet'!J10</f>
        <v>785182</v>
      </c>
      <c r="K20" s="42" t="n">
        <f>'Balance Sheet'!K10</f>
        <v>785182</v>
      </c>
    </row>
    <row r="21" ht="15.75" customHeight="1">
      <c r="C21" s="34" t="s">
        <v>75</v>
      </c>
      <c r="G21" s="42" t="n">
        <f>'Balance Sheet'!G11</f>
        <v>1138173</v>
      </c>
      <c r="H21" s="42" t="n">
        <f>'Balance Sheet'!H11</f>
        <v>1307388</v>
      </c>
      <c r="I21" s="42" t="n">
        <f>'Balance Sheet'!I11</f>
        <v>1419699</v>
      </c>
      <c r="J21" s="42" t="n">
        <f>'Balance Sheet'!J11</f>
        <v>1545664</v>
      </c>
      <c r="K21" s="42" t="n">
        <f>'Balance Sheet'!K11</f>
        <v>1638457</v>
      </c>
    </row>
    <row r="22" ht="15.75" customHeight="1">
      <c r="C22" s="34" t="s">
        <v>76</v>
      </c>
      <c r="G22" s="42" t="n">
        <f>'Balance Sheet'!G12</f>
        <v>1353165</v>
      </c>
      <c r="H22" s="42" t="n">
        <f>'Balance Sheet'!H12</f>
        <v>1457825</v>
      </c>
      <c r="I22" s="42" t="n">
        <f>'Balance Sheet'!I12</f>
        <v>1575200</v>
      </c>
      <c r="J22" s="42" t="n">
        <f>'Balance Sheet'!J12</f>
        <v>1828784</v>
      </c>
      <c r="K22" s="42" t="n">
        <f>'Balance Sheet'!K12</f>
        <v>2057891</v>
      </c>
    </row>
    <row r="23" ht="15.75" customHeight="1">
      <c r="B23" s="35" t="s">
        <v>211</v>
      </c>
      <c r="G23" s="49" t="n">
        <f>SUM(G20:G22)</f>
        <v>3276520</v>
      </c>
      <c r="H23" s="49" t="n">
        <f>SUM(H20:H22)</f>
        <v>3550395</v>
      </c>
      <c r="I23" s="49" t="n">
        <f>SUM(I20:I22)</f>
        <v>3780081</v>
      </c>
      <c r="J23" s="49" t="n">
        <f>SUM(J20:J22)</f>
        <v>4159630</v>
      </c>
      <c r="K23" s="49" t="n">
        <f>SUM(K20:K22)</f>
        <v>4481530</v>
      </c>
    </row>
    <row r="24">
      <c r="G24" s="177"/>
      <c r="H24" s="177"/>
      <c r="I24" s="177"/>
      <c r="J24" s="177"/>
      <c r="K24" s="177"/>
    </row>
    <row r="25" ht="15.75" customHeight="1">
      <c r="C25" s="34" t="s">
        <v>78</v>
      </c>
      <c r="G25" s="42" t="n">
        <f>'Balance Sheet'!G14</f>
        <v>168757</v>
      </c>
      <c r="H25" s="42" t="n">
        <f>'Balance Sheet'!H14</f>
        <v>203382</v>
      </c>
      <c r="I25" s="42" t="n">
        <f>'Balance Sheet'!I14</f>
        <v>217553</v>
      </c>
      <c r="J25" s="42" t="n">
        <f>'Balance Sheet'!J14</f>
        <v>236791</v>
      </c>
      <c r="K25" s="42" t="n">
        <f>'Balance Sheet'!K14</f>
        <v>226005</v>
      </c>
    </row>
    <row r="26" ht="15.75" customHeight="1">
      <c r="C26" s="34" t="s">
        <v>212</v>
      </c>
      <c r="G26" s="42" t="n">
        <f>-'Balance Sheet'!G32</f>
        <v>-95973</v>
      </c>
      <c r="H26" s="42" t="n">
        <f>-'Balance Sheet'!H32</f>
        <v>-126507</v>
      </c>
      <c r="I26" s="42" t="n">
        <f>-'Balance Sheet'!I32</f>
        <v>-136846</v>
      </c>
      <c r="J26" s="42" t="n">
        <f>-'Balance Sheet'!J32</f>
        <v>-110016</v>
      </c>
      <c r="K26" s="42" t="n">
        <f>-'Balance Sheet'!K32</f>
        <v>-254387</v>
      </c>
    </row>
    <row r="27" ht="15.75" customHeight="1">
      <c r="C27" s="34" t="s">
        <v>213</v>
      </c>
      <c r="G27" s="42" t="n">
        <f>-'Balance Sheet'!G31</f>
        <v>-150868</v>
      </c>
      <c r="H27" s="42" t="n">
        <f>-'Balance Sheet'!H31</f>
        <v>-180694</v>
      </c>
      <c r="I27" s="42" t="n">
        <f>-'Balance Sheet'!I31</f>
        <v>-187276</v>
      </c>
      <c r="J27" s="42" t="n">
        <f>-'Balance Sheet'!J31</f>
        <v>-206212</v>
      </c>
      <c r="K27" s="42" t="n">
        <f>-'Balance Sheet'!K31</f>
        <v>-184481</v>
      </c>
    </row>
    <row r="28" ht="15.75" customHeight="1">
      <c r="B28" s="35" t="s">
        <v>214</v>
      </c>
      <c r="G28" s="49" t="n">
        <f>SUM(G25:G27)</f>
        <v>-78084</v>
      </c>
      <c r="H28" s="49" t="n">
        <f>SUM(H25:H27)</f>
        <v>-103819</v>
      </c>
      <c r="I28" s="49" t="n">
        <f>SUM(I25:I27)</f>
        <v>-106569</v>
      </c>
      <c r="J28" s="49" t="n">
        <f>SUM(J25:J27)</f>
        <v>-79437</v>
      </c>
      <c r="K28" s="49" t="n">
        <f>SUM(K25:K27)</f>
        <v>-212863</v>
      </c>
      <c r="M28" s="34"/>
    </row>
    <row r="29">
      <c r="G29" s="177"/>
      <c r="H29" s="177"/>
      <c r="I29" s="177"/>
      <c r="J29" s="177"/>
      <c r="K29" s="177"/>
    </row>
    <row r="30" ht="15.75" customHeight="1">
      <c r="C30" s="34" t="s">
        <v>82</v>
      </c>
      <c r="G30" s="42" t="n">
        <f>'Balance Sheet'!G18</f>
        <v>1143968</v>
      </c>
      <c r="H30" s="42" t="n">
        <f>'Balance Sheet'!H18</f>
        <v>1399997</v>
      </c>
      <c r="I30" s="42" t="n">
        <f>'Balance Sheet'!I18</f>
        <v>1451158</v>
      </c>
      <c r="J30" s="42" t="n">
        <f>'Balance Sheet'!J18</f>
        <v>1661632</v>
      </c>
      <c r="K30" s="42" t="n">
        <f>'Balance Sheet'!K18</f>
        <v>1613396</v>
      </c>
    </row>
    <row r="31" ht="15.75" customHeight="1">
      <c r="C31" s="34" t="s">
        <v>215</v>
      </c>
      <c r="G31" s="65">
        <v>-994191</v>
      </c>
      <c r="H31" s="65">
        <v>-1222000</v>
      </c>
      <c r="I31" s="65">
        <v>-1281000</v>
      </c>
      <c r="J31" s="65">
        <v>-1456000</v>
      </c>
      <c r="K31" s="65">
        <v>-1385000</v>
      </c>
    </row>
    <row r="32" ht="15.75" customHeight="1">
      <c r="B32" s="35" t="s">
        <v>216</v>
      </c>
      <c r="G32" s="49" t="n">
        <f>G30+G31</f>
        <v>149777</v>
      </c>
      <c r="H32" s="49" t="n">
        <f>H30+H31</f>
        <v>177997</v>
      </c>
      <c r="I32" s="49" t="n">
        <f>I30+I31</f>
        <v>170158</v>
      </c>
      <c r="J32" s="49" t="n">
        <f>J30+J31</f>
        <v>205632</v>
      </c>
      <c r="K32" s="49" t="n">
        <f>K30+K31</f>
        <v>228396</v>
      </c>
      <c r="M32" s="34"/>
    </row>
    <row r="33">
      <c r="G33" s="177"/>
      <c r="H33" s="177"/>
      <c r="I33" s="177"/>
      <c r="J33" s="177"/>
      <c r="K33" s="177"/>
    </row>
    <row r="34" ht="15.75" customHeight="1">
      <c r="B34" s="36" t="s">
        <v>217</v>
      </c>
      <c r="G34" s="49" t="n">
        <f>G18+G23+G28+G32</f>
        <v>2572801</v>
      </c>
      <c r="H34" s="49" t="n">
        <f>H18+H23+H28+H32</f>
        <v>2787330</v>
      </c>
      <c r="I34" s="49" t="n">
        <f>I18+I23+I28+I32</f>
        <v>3152610</v>
      </c>
      <c r="J34" s="49" t="n">
        <f>J18+J23+J28+J32</f>
        <v>3787125</v>
      </c>
      <c r="K34" s="49" t="n">
        <f>K18+K23+K28+K32</f>
        <v>3924421</v>
      </c>
    </row>
    <row r="35">
      <c r="G35" s="177"/>
      <c r="H35" s="177"/>
      <c r="I35" s="177"/>
      <c r="J35" s="177"/>
      <c r="K35" s="177"/>
    </row>
    <row r="36" ht="15.75" customHeight="1">
      <c r="B36" s="21" t="s">
        <v>218</v>
      </c>
      <c r="G36" s="177"/>
      <c r="H36" s="177"/>
      <c r="I36" s="177"/>
      <c r="J36" s="177"/>
      <c r="K36" s="177"/>
    </row>
    <row r="37" ht="15.75" customHeight="1">
      <c r="C37" s="34" t="s">
        <v>96</v>
      </c>
      <c r="G37" s="42" t="n">
        <f>'Balance Sheet'!G33</f>
        <v>2630011</v>
      </c>
      <c r="H37" s="42" t="n">
        <f>'Balance Sheet'!H33</f>
        <v>2811779</v>
      </c>
      <c r="I37" s="42" t="n">
        <f>'Balance Sheet'!I33</f>
        <v>2477186</v>
      </c>
      <c r="J37" s="42" t="n">
        <f>'Balance Sheet'!J33</f>
        <v>3351888</v>
      </c>
      <c r="K37" s="42" t="n">
        <f>'Balance Sheet'!K33</f>
        <v>2884220</v>
      </c>
    </row>
    <row r="38" ht="15.75" customHeight="1">
      <c r="C38" s="34" t="s">
        <v>219</v>
      </c>
      <c r="G38" s="42" t="n">
        <f>G31</f>
        <v>-994191</v>
      </c>
      <c r="H38" s="42" t="n">
        <f>H31</f>
        <v>-1222000</v>
      </c>
      <c r="I38" s="42" t="n">
        <f>I31</f>
        <v>-1281000</v>
      </c>
      <c r="J38" s="42" t="n">
        <f>J31</f>
        <v>-1456000</v>
      </c>
      <c r="K38" s="42" t="n">
        <f>K31</f>
        <v>-1385000</v>
      </c>
    </row>
    <row r="39" ht="15.75" customHeight="1">
      <c r="B39" s="35" t="s">
        <v>220</v>
      </c>
      <c r="G39" s="49" t="n">
        <f>G37+G38</f>
        <v>1635820</v>
      </c>
      <c r="H39" s="49" t="n">
        <f>H37+H38</f>
        <v>1589779</v>
      </c>
      <c r="I39" s="49" t="n">
        <f>I37+I38</f>
        <v>1196186</v>
      </c>
      <c r="J39" s="49" t="n">
        <f>J37+J38</f>
        <v>1895888</v>
      </c>
      <c r="K39" s="49" t="n">
        <f>K37+K38</f>
        <v>1499220</v>
      </c>
    </row>
    <row r="40" ht="15.75" customHeight="1">
      <c r="C40" s="34" t="s">
        <v>221</v>
      </c>
      <c r="G40" s="42" t="n">
        <f>'Balance Sheet'!G30</f>
        <v>101200</v>
      </c>
      <c r="H40" s="42" t="n">
        <f>'Balance Sheet'!H30</f>
        <v>110807</v>
      </c>
      <c r="I40" s="42" t="n">
        <f>'Balance Sheet'!I30</f>
        <v>123045</v>
      </c>
      <c r="J40" s="42" t="n">
        <f>'Balance Sheet'!J30</f>
        <v>134147</v>
      </c>
      <c r="K40" s="42" t="n">
        <f>'Balance Sheet'!K30</f>
        <v>145294</v>
      </c>
      <c r="M40" s="34"/>
    </row>
    <row r="41" ht="15.75" customHeight="1">
      <c r="C41" s="34" t="s">
        <v>98</v>
      </c>
      <c r="G41" s="42" t="n">
        <f>'Balance Sheet'!G35</f>
        <v>36520</v>
      </c>
      <c r="H41" s="42" t="n">
        <f>'Balance Sheet'!H35</f>
        <v>19993</v>
      </c>
      <c r="I41" s="42" t="n">
        <f>'Balance Sheet'!I35</f>
        <v>13539</v>
      </c>
      <c r="J41" s="42" t="n">
        <f>'Balance Sheet'!J35</f>
        <v>61894</v>
      </c>
      <c r="K41" s="42" t="n">
        <f>'Balance Sheet'!K35</f>
        <v>7405</v>
      </c>
    </row>
    <row r="42" ht="15.75" customHeight="1">
      <c r="C42" s="34" t="s">
        <v>222</v>
      </c>
      <c r="G42" s="42" t="n">
        <f>-'Balance Sheet'!G22</f>
        <v>-1344146</v>
      </c>
      <c r="H42" s="42" t="n">
        <f>-'Balance Sheet'!H22</f>
        <v>-1388901</v>
      </c>
      <c r="I42" s="42" t="n">
        <f>-'Balance Sheet'!I22</f>
        <v>-1121981</v>
      </c>
      <c r="J42" s="42" t="n">
        <f>-'Balance Sheet'!J22</f>
        <v>-1742214</v>
      </c>
      <c r="K42" s="42" t="n">
        <f>-'Balance Sheet'!K22</f>
        <v>-1467711</v>
      </c>
    </row>
    <row r="43" ht="15.75" customHeight="1">
      <c r="C43" s="34" t="s">
        <v>223</v>
      </c>
      <c r="G43" s="42" t="n">
        <f>-'Balance Sheet'!G21</f>
        <v>-13500</v>
      </c>
      <c r="H43" s="42" t="n">
        <f>-'Balance Sheet'!H21</f>
        <v>-87301</v>
      </c>
      <c r="I43" s="42" t="n">
        <f>-'Balance Sheet'!I21</f>
        <v>-61130</v>
      </c>
      <c r="J43" s="42" t="n">
        <f>-'Balance Sheet'!J21</f>
        <v>-25006</v>
      </c>
      <c r="K43" s="42" t="n">
        <f>-'Balance Sheet'!K21</f>
        <v>-78085</v>
      </c>
    </row>
    <row r="44" ht="15.75" customHeight="1">
      <c r="C44" s="34" t="s">
        <v>224</v>
      </c>
      <c r="G44" s="42" t="n">
        <f>-'Balance Sheet'!G13</f>
        <v>-54509</v>
      </c>
      <c r="H44" s="42" t="n">
        <f>-'Balance Sheet'!H13</f>
        <v>-59534</v>
      </c>
      <c r="I44" s="42" t="n">
        <f>-'Balance Sheet'!I13</f>
        <v>-67671</v>
      </c>
      <c r="J44" s="42" t="n">
        <f>-'Balance Sheet'!J13</f>
        <v>-80822</v>
      </c>
      <c r="K44" s="42" t="n">
        <f>-'Balance Sheet'!K13</f>
        <v>-96444</v>
      </c>
      <c r="M44" s="34"/>
    </row>
    <row r="45" ht="15.75" customHeight="1">
      <c r="B45" s="35" t="s">
        <v>225</v>
      </c>
      <c r="G45" s="49" t="n">
        <f>G39+SUM(G40:G44)</f>
        <v>361385</v>
      </c>
      <c r="H45" s="49" t="n">
        <f>H39+SUM(H40:H44)</f>
        <v>184843</v>
      </c>
      <c r="I45" s="49" t="n">
        <f>I39+SUM(I40:I44)</f>
        <v>81988</v>
      </c>
      <c r="J45" s="49" t="n">
        <f>J39+SUM(J40:J44)</f>
        <v>243887</v>
      </c>
      <c r="K45" s="49" t="n">
        <f>K39+SUM(K40:K44)</f>
        <v>9679</v>
      </c>
      <c r="M45" s="34"/>
    </row>
    <row r="46">
      <c r="G46" s="177"/>
      <c r="H46" s="177"/>
      <c r="I46" s="177"/>
      <c r="J46" s="177"/>
      <c r="K46" s="177"/>
    </row>
    <row r="47" ht="15.75" customHeight="1">
      <c r="C47" s="34" t="s">
        <v>90</v>
      </c>
      <c r="G47" s="42" t="n">
        <f>'Balance Sheet'!G27</f>
        <v>2205898</v>
      </c>
      <c r="H47" s="42" t="n">
        <f>'Balance Sheet'!H27</f>
        <v>2592857</v>
      </c>
      <c r="I47" s="42" t="n">
        <f>'Balance Sheet'!I27</f>
        <v>3060888</v>
      </c>
      <c r="J47" s="42" t="n">
        <f>'Balance Sheet'!J27</f>
        <v>3533946</v>
      </c>
      <c r="K47" s="42" t="n">
        <f>'Balance Sheet'!K27</f>
        <v>3906893</v>
      </c>
    </row>
    <row r="48" ht="15.75" customHeight="1">
      <c r="C48" s="34" t="s">
        <v>91</v>
      </c>
      <c r="G48" s="42" t="n">
        <f>'Balance Sheet'!G28</f>
        <v>5518</v>
      </c>
      <c r="H48" s="42" t="n">
        <f>'Balance Sheet'!H28</f>
        <v>9630</v>
      </c>
      <c r="I48" s="42" t="n">
        <f>'Balance Sheet'!I28</f>
        <v>9734</v>
      </c>
      <c r="J48" s="42" t="n">
        <f>'Balance Sheet'!J28</f>
        <v>9292</v>
      </c>
      <c r="K48" s="42" t="n">
        <f>'Balance Sheet'!K28</f>
        <v>7849</v>
      </c>
    </row>
    <row r="49" ht="15.75" customHeight="1">
      <c r="B49" s="35" t="s">
        <v>92</v>
      </c>
      <c r="G49" s="49" t="n">
        <f>G47+G48</f>
        <v>2211416</v>
      </c>
      <c r="H49" s="49" t="n">
        <f>H47+H48</f>
        <v>2602487</v>
      </c>
      <c r="I49" s="49" t="n">
        <f>I47+I48</f>
        <v>3070622</v>
      </c>
      <c r="J49" s="49" t="n">
        <f>J47+J48</f>
        <v>3543238</v>
      </c>
      <c r="K49" s="49" t="n">
        <f>K47+K48</f>
        <v>3914742</v>
      </c>
    </row>
    <row r="50">
      <c r="G50" s="177"/>
      <c r="H50" s="177"/>
      <c r="I50" s="177"/>
      <c r="J50" s="177"/>
      <c r="K50" s="177"/>
    </row>
    <row r="51" ht="15.75" customHeight="1">
      <c r="B51" s="36" t="s">
        <v>226</v>
      </c>
      <c r="G51" s="49" t="n">
        <f>G45+G49</f>
        <v>2572801</v>
      </c>
      <c r="H51" s="49" t="n">
        <f>H45+H49</f>
        <v>2787330</v>
      </c>
      <c r="I51" s="49" t="n">
        <f>I45+I49</f>
        <v>3152610</v>
      </c>
      <c r="J51" s="49" t="n">
        <f>J45+J49</f>
        <v>3787125</v>
      </c>
      <c r="K51" s="49" t="n">
        <f>K45+K49</f>
        <v>3924421</v>
      </c>
    </row>
    <row r="53" ht="15.75" customHeight="1">
      <c r="C53" s="19"/>
      <c r="G53" s="20"/>
      <c r="H53" s="20"/>
      <c r="I53" s="20"/>
      <c r="J53" s="20"/>
      <c r="K53" s="20"/>
    </row>
    <row r="54" ht="15.75" customHeight="1">
      <c r="C54" s="19"/>
      <c r="K54" s="20"/>
    </row>
  </sheetData>
  <mergeCells>
    <mergeCell ref="B8:F8"/>
    <mergeCell ref="A1:U3"/>
    <mergeCell ref="A4:G4"/>
    <mergeCell ref="H4:N4"/>
    <mergeCell ref="O4:U4"/>
    <mergeCell ref="A5:U5"/>
  </mergeCells>
  <pageMargins left="0.7" right="0.7" top="0.75" bottom="0.75" header="0.3" footer="0.3"/>
  <drawing r:id="Rcf3ae026ca404ae5"/>
</worksheet>
</file>